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ucgue\Documents\PLANES DEL DECRETO 612 DE 2018\"/>
    </mc:Choice>
  </mc:AlternateContent>
  <xr:revisionPtr revIDLastSave="0" documentId="8_{1F2FE523-7008-44B9-9507-610FE0D736AD}" xr6:coauthVersionLast="47" xr6:coauthVersionMax="47" xr10:uidLastSave="{00000000-0000-0000-0000-000000000000}"/>
  <bookViews>
    <workbookView xWindow="-120" yWindow="-120" windowWidth="29040" windowHeight="15720" xr2:uid="{00000000-000D-0000-FFFF-FFFF00000000}"/>
  </bookViews>
  <sheets>
    <sheet name="Matriz" sheetId="3" r:id="rId1"/>
    <sheet name="Tipologías" sheetId="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Matriz!$A$9:$BE$133</definedName>
    <definedName name="APOYO">Tipologías!$B$88:$B$94</definedName>
    <definedName name="_xlnm.Print_Area" localSheetId="0">Matriz!$E$19:$BH$131</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37" i="3" l="1"/>
  <c r="AZ38" i="3"/>
  <c r="AY37" i="3"/>
  <c r="AY38" i="3"/>
  <c r="AX37" i="3"/>
  <c r="AX38" i="3"/>
  <c r="AZ36" i="3"/>
  <c r="AY36" i="3"/>
  <c r="AX36" i="3"/>
  <c r="AZ129" i="3" l="1"/>
  <c r="AY129" i="3"/>
  <c r="AX129" i="3"/>
  <c r="AV129" i="3"/>
  <c r="AW129" i="3" s="1"/>
  <c r="AS129" i="3"/>
  <c r="AH129" i="3" s="1"/>
  <c r="AQ129" i="3"/>
  <c r="AP129" i="3"/>
  <c r="AT129" i="3" s="1"/>
  <c r="AK129" i="3" s="1"/>
  <c r="AN129" i="3"/>
  <c r="AO129" i="3" s="1"/>
  <c r="AL129" i="3"/>
  <c r="AM129" i="3" s="1"/>
  <c r="AZ128" i="3"/>
  <c r="AY128" i="3"/>
  <c r="AX128" i="3"/>
  <c r="AV128" i="3"/>
  <c r="AW128" i="3" s="1"/>
  <c r="AS128" i="3"/>
  <c r="AH128" i="3" s="1"/>
  <c r="AQ128" i="3"/>
  <c r="AP128" i="3"/>
  <c r="AT128" i="3" s="1"/>
  <c r="AK128" i="3" s="1"/>
  <c r="AN128" i="3"/>
  <c r="AO128" i="3" s="1"/>
  <c r="AL128" i="3"/>
  <c r="AM128" i="3" s="1"/>
  <c r="AR128" i="3" s="1"/>
  <c r="AZ127" i="3"/>
  <c r="AY127" i="3"/>
  <c r="AX127" i="3"/>
  <c r="AV127" i="3"/>
  <c r="AW127" i="3" s="1"/>
  <c r="AS127" i="3"/>
  <c r="AH127" i="3" s="1"/>
  <c r="AQ127" i="3"/>
  <c r="AP127" i="3"/>
  <c r="AT127" i="3" s="1"/>
  <c r="AK127" i="3" s="1"/>
  <c r="AN127" i="3"/>
  <c r="AO127" i="3" s="1"/>
  <c r="AL127" i="3"/>
  <c r="AM127" i="3" s="1"/>
  <c r="AZ126" i="3"/>
  <c r="AY126" i="3"/>
  <c r="AX126" i="3"/>
  <c r="AV126" i="3"/>
  <c r="AW126" i="3" s="1"/>
  <c r="AS126" i="3"/>
  <c r="AQ126" i="3"/>
  <c r="AP126" i="3"/>
  <c r="AT126" i="3" s="1"/>
  <c r="AK126" i="3" s="1"/>
  <c r="AN126" i="3"/>
  <c r="AO126" i="3" s="1"/>
  <c r="AL126" i="3"/>
  <c r="AM126" i="3" s="1"/>
  <c r="AH126" i="3"/>
  <c r="AZ125" i="3"/>
  <c r="AY125" i="3"/>
  <c r="AX125" i="3"/>
  <c r="AV125" i="3"/>
  <c r="AW125" i="3" s="1"/>
  <c r="AS125" i="3"/>
  <c r="AH125" i="3" s="1"/>
  <c r="AQ125" i="3"/>
  <c r="AP125" i="3"/>
  <c r="AT125" i="3" s="1"/>
  <c r="AK125" i="3" s="1"/>
  <c r="AN125" i="3"/>
  <c r="AO125" i="3" s="1"/>
  <c r="AL125" i="3"/>
  <c r="AM125" i="3" s="1"/>
  <c r="AZ124" i="3"/>
  <c r="AY124" i="3"/>
  <c r="AX124" i="3"/>
  <c r="AV124" i="3"/>
  <c r="AW124" i="3" s="1"/>
  <c r="AS124" i="3"/>
  <c r="AH124" i="3" s="1"/>
  <c r="AQ124" i="3"/>
  <c r="AP124" i="3"/>
  <c r="AT124" i="3" s="1"/>
  <c r="AK124" i="3" s="1"/>
  <c r="AN124" i="3"/>
  <c r="AO124" i="3" s="1"/>
  <c r="AL124" i="3"/>
  <c r="AM124" i="3" s="1"/>
  <c r="AR124" i="3" s="1"/>
  <c r="AZ123" i="3"/>
  <c r="AY123" i="3"/>
  <c r="AX123" i="3"/>
  <c r="AV123" i="3"/>
  <c r="AW123" i="3" s="1"/>
  <c r="AS123" i="3"/>
  <c r="AH123" i="3" s="1"/>
  <c r="AQ123" i="3"/>
  <c r="AP123" i="3"/>
  <c r="AN123" i="3"/>
  <c r="AO123" i="3" s="1"/>
  <c r="AL123" i="3"/>
  <c r="AM123" i="3" s="1"/>
  <c r="AZ122" i="3"/>
  <c r="AY122" i="3"/>
  <c r="AX122" i="3"/>
  <c r="AV122" i="3"/>
  <c r="AW122" i="3" s="1"/>
  <c r="AS122" i="3"/>
  <c r="AQ122" i="3"/>
  <c r="AP122" i="3"/>
  <c r="AT122" i="3" s="1"/>
  <c r="AK122" i="3" s="1"/>
  <c r="AN122" i="3"/>
  <c r="AO122" i="3" s="1"/>
  <c r="AL122" i="3"/>
  <c r="AM122" i="3" s="1"/>
  <c r="AH122" i="3"/>
  <c r="AZ121" i="3"/>
  <c r="AY121" i="3"/>
  <c r="AX121" i="3"/>
  <c r="AV121" i="3"/>
  <c r="AW121" i="3" s="1"/>
  <c r="AS121" i="3"/>
  <c r="AH121" i="3" s="1"/>
  <c r="AQ121" i="3"/>
  <c r="AP121" i="3"/>
  <c r="AN121" i="3"/>
  <c r="AO121" i="3" s="1"/>
  <c r="AL121" i="3"/>
  <c r="AM121" i="3" s="1"/>
  <c r="AR121" i="3" l="1"/>
  <c r="AT121" i="3"/>
  <c r="AK121" i="3" s="1"/>
  <c r="AR125" i="3"/>
  <c r="AT123" i="3"/>
  <c r="AK123" i="3" s="1"/>
  <c r="AR129" i="3"/>
  <c r="AU129" i="3" s="1"/>
  <c r="AR123" i="3"/>
  <c r="AU123" i="3" s="1"/>
  <c r="AR127" i="3"/>
  <c r="AU124" i="3"/>
  <c r="AF124" i="3"/>
  <c r="AU125" i="3"/>
  <c r="AF125" i="3"/>
  <c r="AF129" i="3"/>
  <c r="AR122" i="3"/>
  <c r="AR126" i="3"/>
  <c r="AF128" i="3"/>
  <c r="AU128" i="3"/>
  <c r="AU121" i="3"/>
  <c r="AF121" i="3"/>
  <c r="AU127" i="3"/>
  <c r="AF127" i="3"/>
  <c r="AF123" i="3" l="1"/>
  <c r="AU126" i="3"/>
  <c r="AF126" i="3"/>
  <c r="AU122" i="3"/>
  <c r="AF122" i="3"/>
  <c r="AZ65" i="3" l="1"/>
  <c r="AY65" i="3"/>
  <c r="AX65" i="3"/>
  <c r="AX11" i="3"/>
  <c r="AX12" i="3"/>
  <c r="AX13" i="3"/>
  <c r="AX14" i="3"/>
  <c r="AX10" i="3"/>
  <c r="AY11" i="3"/>
  <c r="AY12" i="3"/>
  <c r="AY13" i="3"/>
  <c r="AY10" i="3"/>
  <c r="AZ120" i="3" l="1"/>
  <c r="AY120" i="3"/>
  <c r="AX120" i="3"/>
  <c r="AV120" i="3"/>
  <c r="AW120" i="3" s="1"/>
  <c r="AS120" i="3"/>
  <c r="AH120" i="3" s="1"/>
  <c r="AQ120" i="3"/>
  <c r="AP120" i="3"/>
  <c r="AN120" i="3"/>
  <c r="AO120" i="3" s="1"/>
  <c r="AL120" i="3"/>
  <c r="AM120" i="3" s="1"/>
  <c r="AZ119" i="3"/>
  <c r="AY119" i="3"/>
  <c r="AX119" i="3"/>
  <c r="AV119" i="3"/>
  <c r="AW119" i="3" s="1"/>
  <c r="AS119" i="3"/>
  <c r="AH119" i="3" s="1"/>
  <c r="AQ119" i="3"/>
  <c r="AP119" i="3"/>
  <c r="AN119" i="3"/>
  <c r="AO119" i="3" s="1"/>
  <c r="AL119" i="3"/>
  <c r="AM119" i="3" s="1"/>
  <c r="AZ118" i="3"/>
  <c r="AY118" i="3"/>
  <c r="AX118" i="3"/>
  <c r="AV118" i="3"/>
  <c r="AW118" i="3" s="1"/>
  <c r="AS118" i="3"/>
  <c r="AH118" i="3" s="1"/>
  <c r="AQ118" i="3"/>
  <c r="AP118" i="3"/>
  <c r="AN118" i="3"/>
  <c r="AO118" i="3" s="1"/>
  <c r="AL118" i="3"/>
  <c r="AM118" i="3" s="1"/>
  <c r="AZ117" i="3"/>
  <c r="AY117" i="3"/>
  <c r="AX117" i="3"/>
  <c r="AV117" i="3"/>
  <c r="AW117" i="3" s="1"/>
  <c r="AS117" i="3"/>
  <c r="AH117" i="3" s="1"/>
  <c r="AQ117" i="3"/>
  <c r="AP117" i="3"/>
  <c r="AN117" i="3"/>
  <c r="AO117" i="3" s="1"/>
  <c r="AL117" i="3"/>
  <c r="AM117" i="3" s="1"/>
  <c r="AZ116" i="3"/>
  <c r="AY116" i="3"/>
  <c r="AX116" i="3"/>
  <c r="AV116" i="3"/>
  <c r="AW116" i="3" s="1"/>
  <c r="AS116" i="3"/>
  <c r="AH116" i="3" s="1"/>
  <c r="AQ116" i="3"/>
  <c r="AP116" i="3"/>
  <c r="AN116" i="3"/>
  <c r="AO116" i="3" s="1"/>
  <c r="AL116" i="3"/>
  <c r="AM116" i="3" s="1"/>
  <c r="AZ115" i="3"/>
  <c r="AY115" i="3"/>
  <c r="AX115" i="3"/>
  <c r="AV115" i="3"/>
  <c r="AW115" i="3" s="1"/>
  <c r="AS115" i="3"/>
  <c r="AH115" i="3" s="1"/>
  <c r="AQ115" i="3"/>
  <c r="AP115" i="3"/>
  <c r="AN115" i="3"/>
  <c r="AO115" i="3" s="1"/>
  <c r="AL115" i="3"/>
  <c r="AM115" i="3" s="1"/>
  <c r="AZ114" i="3"/>
  <c r="AY114" i="3"/>
  <c r="AX114" i="3"/>
  <c r="AV114" i="3"/>
  <c r="AW114" i="3" s="1"/>
  <c r="AS114" i="3"/>
  <c r="AH114" i="3" s="1"/>
  <c r="AQ114" i="3"/>
  <c r="AP114" i="3"/>
  <c r="AN114" i="3"/>
  <c r="AO114" i="3" s="1"/>
  <c r="AL114" i="3"/>
  <c r="AM114" i="3" s="1"/>
  <c r="AZ113" i="3"/>
  <c r="AY113" i="3"/>
  <c r="AX113" i="3"/>
  <c r="AV113" i="3"/>
  <c r="AW113" i="3" s="1"/>
  <c r="AS113" i="3"/>
  <c r="AH113" i="3" s="1"/>
  <c r="AQ113" i="3"/>
  <c r="AP113" i="3"/>
  <c r="AN113" i="3"/>
  <c r="AO113" i="3" s="1"/>
  <c r="AL113" i="3"/>
  <c r="AM113" i="3" s="1"/>
  <c r="AZ112" i="3"/>
  <c r="AY112" i="3"/>
  <c r="AX112" i="3"/>
  <c r="AV112" i="3"/>
  <c r="AW112" i="3" s="1"/>
  <c r="AS112" i="3"/>
  <c r="AH112" i="3" s="1"/>
  <c r="AQ112" i="3"/>
  <c r="AP112" i="3"/>
  <c r="AN112" i="3"/>
  <c r="AO112" i="3" s="1"/>
  <c r="AL112" i="3"/>
  <c r="AM112" i="3" s="1"/>
  <c r="AZ111" i="3"/>
  <c r="AY111" i="3"/>
  <c r="AX111" i="3"/>
  <c r="AV111" i="3"/>
  <c r="AW111" i="3" s="1"/>
  <c r="AS111" i="3"/>
  <c r="AH111" i="3" s="1"/>
  <c r="AQ111" i="3"/>
  <c r="AP111" i="3"/>
  <c r="AN111" i="3"/>
  <c r="AO111" i="3" s="1"/>
  <c r="AL111" i="3"/>
  <c r="AM111" i="3" s="1"/>
  <c r="AT117" i="3" l="1"/>
  <c r="AK117" i="3" s="1"/>
  <c r="AT112" i="3"/>
  <c r="AK112" i="3" s="1"/>
  <c r="AR113" i="3"/>
  <c r="AF113" i="3" s="1"/>
  <c r="AT113" i="3"/>
  <c r="AK113" i="3" s="1"/>
  <c r="AT116" i="3"/>
  <c r="AK116" i="3" s="1"/>
  <c r="AR117" i="3"/>
  <c r="AR114" i="3"/>
  <c r="AR116" i="3"/>
  <c r="AT120" i="3"/>
  <c r="AK120" i="3" s="1"/>
  <c r="AR118" i="3"/>
  <c r="AF118" i="3" s="1"/>
  <c r="AR112" i="3"/>
  <c r="AU112" i="3" s="1"/>
  <c r="AT111" i="3"/>
  <c r="AK111" i="3" s="1"/>
  <c r="AT114" i="3"/>
  <c r="AK114" i="3" s="1"/>
  <c r="AT115" i="3"/>
  <c r="AK115" i="3" s="1"/>
  <c r="AT118" i="3"/>
  <c r="AK118" i="3" s="1"/>
  <c r="AT119" i="3"/>
  <c r="AK119" i="3" s="1"/>
  <c r="AR120" i="3"/>
  <c r="AF120" i="3" s="1"/>
  <c r="AF117" i="3"/>
  <c r="AR111" i="3"/>
  <c r="AR115" i="3"/>
  <c r="AR119" i="3"/>
  <c r="AU116" i="3" l="1"/>
  <c r="AF116" i="3"/>
  <c r="AU114" i="3"/>
  <c r="AU113" i="3"/>
  <c r="AU120" i="3"/>
  <c r="AU117" i="3"/>
  <c r="AF112" i="3"/>
  <c r="AU118" i="3"/>
  <c r="AF114" i="3"/>
  <c r="AU111" i="3"/>
  <c r="AF111" i="3"/>
  <c r="AF115" i="3"/>
  <c r="AU115" i="3"/>
  <c r="AU119" i="3"/>
  <c r="AF119" i="3"/>
  <c r="AZ110" i="3" l="1"/>
  <c r="AY110" i="3"/>
  <c r="AX110" i="3"/>
  <c r="AV110" i="3"/>
  <c r="AW110" i="3" s="1"/>
  <c r="AS110" i="3"/>
  <c r="AH110" i="3" s="1"/>
  <c r="AQ110" i="3"/>
  <c r="AP110" i="3"/>
  <c r="AN110" i="3"/>
  <c r="AO110" i="3" s="1"/>
  <c r="AL110" i="3"/>
  <c r="AM110" i="3" s="1"/>
  <c r="AZ109" i="3"/>
  <c r="AY109" i="3"/>
  <c r="AX109" i="3"/>
  <c r="AV109" i="3"/>
  <c r="AW109" i="3" s="1"/>
  <c r="AS109" i="3"/>
  <c r="AH109" i="3" s="1"/>
  <c r="AQ109" i="3"/>
  <c r="AP109" i="3"/>
  <c r="AN109" i="3"/>
  <c r="AO109" i="3" s="1"/>
  <c r="AL109" i="3"/>
  <c r="AM109" i="3" s="1"/>
  <c r="AZ108" i="3"/>
  <c r="AY108" i="3"/>
  <c r="AX108" i="3"/>
  <c r="AV108" i="3"/>
  <c r="AW108" i="3" s="1"/>
  <c r="AS108" i="3"/>
  <c r="AH108" i="3" s="1"/>
  <c r="AQ108" i="3"/>
  <c r="AP108" i="3"/>
  <c r="AN108" i="3"/>
  <c r="AO108" i="3" s="1"/>
  <c r="AL108" i="3"/>
  <c r="AM108" i="3" s="1"/>
  <c r="AZ107" i="3"/>
  <c r="AY107" i="3"/>
  <c r="AX107" i="3"/>
  <c r="AV107" i="3"/>
  <c r="AW107" i="3" s="1"/>
  <c r="AS107" i="3"/>
  <c r="AQ107" i="3"/>
  <c r="AP107" i="3"/>
  <c r="AN107" i="3"/>
  <c r="AO107" i="3" s="1"/>
  <c r="AL107" i="3"/>
  <c r="AM107" i="3" s="1"/>
  <c r="AZ106" i="3"/>
  <c r="AY106" i="3"/>
  <c r="AX106" i="3"/>
  <c r="AV106" i="3"/>
  <c r="AW106" i="3" s="1"/>
  <c r="AS106" i="3"/>
  <c r="AH106" i="3" s="1"/>
  <c r="AQ106" i="3"/>
  <c r="AP106" i="3"/>
  <c r="AN106" i="3"/>
  <c r="AO106" i="3" s="1"/>
  <c r="AL106" i="3"/>
  <c r="AM106" i="3" s="1"/>
  <c r="AZ105" i="3"/>
  <c r="AY105" i="3"/>
  <c r="AX105" i="3"/>
  <c r="AV105" i="3"/>
  <c r="AW105" i="3" s="1"/>
  <c r="AS105" i="3"/>
  <c r="AH105" i="3" s="1"/>
  <c r="AQ105" i="3"/>
  <c r="AP105" i="3"/>
  <c r="AN105" i="3"/>
  <c r="AO105" i="3" s="1"/>
  <c r="AL105" i="3"/>
  <c r="AM105" i="3" s="1"/>
  <c r="AZ104" i="3"/>
  <c r="AY104" i="3"/>
  <c r="AX104" i="3"/>
  <c r="AV104" i="3"/>
  <c r="AW104" i="3" s="1"/>
  <c r="AS104" i="3"/>
  <c r="AH104" i="3" s="1"/>
  <c r="AQ104" i="3"/>
  <c r="AP104" i="3"/>
  <c r="AN104" i="3"/>
  <c r="AO104" i="3" s="1"/>
  <c r="AL104" i="3"/>
  <c r="AM104" i="3" s="1"/>
  <c r="AZ103" i="3"/>
  <c r="AY103" i="3"/>
  <c r="AX103" i="3"/>
  <c r="AV103" i="3"/>
  <c r="AW103" i="3" s="1"/>
  <c r="AS103" i="3"/>
  <c r="AH103" i="3" s="1"/>
  <c r="AQ103" i="3"/>
  <c r="AP103" i="3"/>
  <c r="AN103" i="3"/>
  <c r="AO103" i="3" s="1"/>
  <c r="AL103" i="3"/>
  <c r="AM103" i="3" s="1"/>
  <c r="AZ102" i="3"/>
  <c r="AY102" i="3"/>
  <c r="AX102" i="3"/>
  <c r="AV102" i="3"/>
  <c r="AW102" i="3" s="1"/>
  <c r="AS102" i="3"/>
  <c r="AH102" i="3" s="1"/>
  <c r="AQ102" i="3"/>
  <c r="AP102" i="3"/>
  <c r="AN102" i="3"/>
  <c r="AO102" i="3" s="1"/>
  <c r="AL102" i="3"/>
  <c r="AM102" i="3" s="1"/>
  <c r="AZ101" i="3"/>
  <c r="AY101" i="3"/>
  <c r="AX101" i="3"/>
  <c r="AV101" i="3"/>
  <c r="AW101" i="3" s="1"/>
  <c r="AS101" i="3"/>
  <c r="AH101" i="3" s="1"/>
  <c r="AQ101" i="3"/>
  <c r="AP101" i="3"/>
  <c r="AN101" i="3"/>
  <c r="AO101" i="3" s="1"/>
  <c r="AL101" i="3"/>
  <c r="AM101" i="3" s="1"/>
  <c r="AR109" i="3" l="1"/>
  <c r="AF109" i="3" s="1"/>
  <c r="AR108" i="3"/>
  <c r="AF108" i="3" s="1"/>
  <c r="AT109" i="3"/>
  <c r="AK109" i="3" s="1"/>
  <c r="AR110" i="3"/>
  <c r="AF110" i="3" s="1"/>
  <c r="AT108" i="3"/>
  <c r="AK108" i="3" s="1"/>
  <c r="AT110" i="3"/>
  <c r="AK110" i="3" s="1"/>
  <c r="AT103" i="3"/>
  <c r="AK103" i="3" s="1"/>
  <c r="AT104" i="3"/>
  <c r="AK104" i="3" s="1"/>
  <c r="AR101" i="3"/>
  <c r="AR102" i="3"/>
  <c r="AR104" i="3"/>
  <c r="AT105" i="3"/>
  <c r="AK105" i="3" s="1"/>
  <c r="AT107" i="3"/>
  <c r="AT101" i="3"/>
  <c r="AK101" i="3" s="1"/>
  <c r="AT102" i="3"/>
  <c r="AK102" i="3" s="1"/>
  <c r="AT106" i="3"/>
  <c r="AK106" i="3" s="1"/>
  <c r="AR107" i="3"/>
  <c r="AU107" i="3" s="1"/>
  <c r="AR103" i="3"/>
  <c r="AR105" i="3"/>
  <c r="AR106" i="3"/>
  <c r="AU109" i="3" l="1"/>
  <c r="AU110" i="3"/>
  <c r="AU108" i="3"/>
  <c r="AU103" i="3"/>
  <c r="AU105" i="3"/>
  <c r="AU104" i="3"/>
  <c r="AU101" i="3"/>
  <c r="AU106" i="3"/>
  <c r="AU102" i="3"/>
  <c r="AK13" i="3" l="1"/>
  <c r="AK12" i="3"/>
  <c r="AK11" i="3"/>
  <c r="AK10" i="3"/>
  <c r="AH65" i="3"/>
  <c r="AH10" i="3"/>
  <c r="AH11" i="3"/>
  <c r="AH13" i="3"/>
  <c r="AZ100" i="3" l="1"/>
  <c r="AY100" i="3"/>
  <c r="AX100" i="3"/>
  <c r="AV100" i="3"/>
  <c r="AW100" i="3" s="1"/>
  <c r="AS100" i="3"/>
  <c r="AH100" i="3" s="1"/>
  <c r="AQ100" i="3"/>
  <c r="AP100" i="3"/>
  <c r="AN100" i="3"/>
  <c r="AO100" i="3" s="1"/>
  <c r="AL100" i="3"/>
  <c r="AM100" i="3" s="1"/>
  <c r="AZ99" i="3"/>
  <c r="AY99" i="3"/>
  <c r="AX99" i="3"/>
  <c r="AV99" i="3"/>
  <c r="AW99" i="3" s="1"/>
  <c r="AS99" i="3"/>
  <c r="AH99" i="3" s="1"/>
  <c r="AQ99" i="3"/>
  <c r="AP99" i="3"/>
  <c r="AN99" i="3"/>
  <c r="AO99" i="3" s="1"/>
  <c r="AL99" i="3"/>
  <c r="AM99" i="3" s="1"/>
  <c r="AZ98" i="3"/>
  <c r="AY98" i="3"/>
  <c r="AX98" i="3"/>
  <c r="AV98" i="3"/>
  <c r="AW98" i="3" s="1"/>
  <c r="AS98" i="3"/>
  <c r="AH98" i="3" s="1"/>
  <c r="AQ98" i="3"/>
  <c r="AP98" i="3"/>
  <c r="AN98" i="3"/>
  <c r="AO98" i="3" s="1"/>
  <c r="AL98" i="3"/>
  <c r="AM98" i="3" s="1"/>
  <c r="AR100" i="3" l="1"/>
  <c r="AF100" i="3" s="1"/>
  <c r="AT100" i="3"/>
  <c r="AK100" i="3" s="1"/>
  <c r="AR98" i="3"/>
  <c r="AF98" i="3" s="1"/>
  <c r="AT98" i="3"/>
  <c r="AK98" i="3" s="1"/>
  <c r="AT99" i="3"/>
  <c r="AK99" i="3" s="1"/>
  <c r="AR99" i="3"/>
  <c r="AU100" i="3" l="1"/>
  <c r="AU98" i="3"/>
  <c r="AU99" i="3"/>
  <c r="AF99" i="3"/>
  <c r="AZ46" i="3" l="1"/>
  <c r="AZ44" i="3"/>
  <c r="AZ43" i="3"/>
  <c r="AZ45" i="3"/>
  <c r="AY46" i="3"/>
  <c r="AY45" i="3"/>
  <c r="AY44" i="3"/>
  <c r="AY43" i="3"/>
  <c r="AX46" i="3"/>
  <c r="AX45" i="3"/>
  <c r="AX44" i="3"/>
  <c r="AX43" i="3"/>
  <c r="AV46" i="3"/>
  <c r="AV45" i="3"/>
  <c r="AV44" i="3"/>
  <c r="AV43" i="3"/>
  <c r="AZ97" i="3" l="1"/>
  <c r="AY97" i="3"/>
  <c r="AX97" i="3"/>
  <c r="AV97" i="3"/>
  <c r="AW97" i="3" s="1"/>
  <c r="AS97" i="3"/>
  <c r="AH97" i="3" s="1"/>
  <c r="AQ97" i="3"/>
  <c r="AP97" i="3"/>
  <c r="AN97" i="3"/>
  <c r="AO97" i="3" s="1"/>
  <c r="AL97" i="3"/>
  <c r="AM97" i="3" s="1"/>
  <c r="AZ96" i="3"/>
  <c r="AY96" i="3"/>
  <c r="AX96" i="3"/>
  <c r="AV96" i="3"/>
  <c r="AW96" i="3" s="1"/>
  <c r="AS96" i="3"/>
  <c r="AH96" i="3" s="1"/>
  <c r="AQ96" i="3"/>
  <c r="AP96" i="3"/>
  <c r="AN96" i="3"/>
  <c r="AO96" i="3" s="1"/>
  <c r="AL96" i="3"/>
  <c r="AM96" i="3" s="1"/>
  <c r="AZ95" i="3"/>
  <c r="AY95" i="3"/>
  <c r="AX95" i="3"/>
  <c r="AV95" i="3"/>
  <c r="AW95" i="3" s="1"/>
  <c r="AS95" i="3"/>
  <c r="AH95" i="3" s="1"/>
  <c r="AQ95" i="3"/>
  <c r="AP95" i="3"/>
  <c r="AN95" i="3"/>
  <c r="AO95" i="3" s="1"/>
  <c r="AL95" i="3"/>
  <c r="AM95" i="3" s="1"/>
  <c r="AZ94" i="3"/>
  <c r="AY94" i="3"/>
  <c r="AX94" i="3"/>
  <c r="AV94" i="3"/>
  <c r="AW94" i="3" s="1"/>
  <c r="AS94" i="3"/>
  <c r="AH94" i="3" s="1"/>
  <c r="AQ94" i="3"/>
  <c r="AP94" i="3"/>
  <c r="AN94" i="3"/>
  <c r="AO94" i="3" s="1"/>
  <c r="AL94" i="3"/>
  <c r="AM94" i="3" s="1"/>
  <c r="AT97" i="3" l="1"/>
  <c r="AK97" i="3" s="1"/>
  <c r="AT94" i="3"/>
  <c r="AK94" i="3" s="1"/>
  <c r="AR96" i="3"/>
  <c r="AF96" i="3" s="1"/>
  <c r="AT95" i="3"/>
  <c r="AK95" i="3" s="1"/>
  <c r="AT96" i="3"/>
  <c r="AK96" i="3" s="1"/>
  <c r="AR97" i="3"/>
  <c r="AR95" i="3"/>
  <c r="AR94" i="3"/>
  <c r="AU97" i="3" l="1"/>
  <c r="AF97" i="3"/>
  <c r="AU95" i="3"/>
  <c r="AF95" i="3"/>
  <c r="AU96" i="3"/>
  <c r="AU94" i="3"/>
  <c r="AF94" i="3"/>
  <c r="AZ93" i="3" l="1"/>
  <c r="AY93" i="3"/>
  <c r="AX93" i="3"/>
  <c r="AV93" i="3"/>
  <c r="AW93" i="3" s="1"/>
  <c r="AS93" i="3"/>
  <c r="AH93" i="3" s="1"/>
  <c r="AQ93" i="3"/>
  <c r="AP93" i="3"/>
  <c r="AN93" i="3"/>
  <c r="AO93" i="3" s="1"/>
  <c r="AL93" i="3"/>
  <c r="AM93" i="3" s="1"/>
  <c r="AZ92" i="3"/>
  <c r="AY92" i="3"/>
  <c r="AX92" i="3"/>
  <c r="AV92" i="3"/>
  <c r="AW92" i="3" s="1"/>
  <c r="AS92" i="3"/>
  <c r="AH92" i="3" s="1"/>
  <c r="AQ92" i="3"/>
  <c r="AP92" i="3"/>
  <c r="AN92" i="3"/>
  <c r="AO92" i="3" s="1"/>
  <c r="AL92" i="3"/>
  <c r="AM92" i="3" s="1"/>
  <c r="AZ91" i="3"/>
  <c r="AY91" i="3"/>
  <c r="AX91" i="3"/>
  <c r="AV91" i="3"/>
  <c r="AW91" i="3" s="1"/>
  <c r="AS91" i="3"/>
  <c r="AH91" i="3" s="1"/>
  <c r="AQ91" i="3"/>
  <c r="AP91" i="3"/>
  <c r="AN91" i="3"/>
  <c r="AO91" i="3" s="1"/>
  <c r="AL91" i="3"/>
  <c r="AM91" i="3" s="1"/>
  <c r="AZ90" i="3"/>
  <c r="AY90" i="3"/>
  <c r="AX90" i="3"/>
  <c r="AV90" i="3"/>
  <c r="AW90" i="3" s="1"/>
  <c r="AS90" i="3"/>
  <c r="AH90" i="3" s="1"/>
  <c r="AQ90" i="3"/>
  <c r="AP90" i="3"/>
  <c r="AN90" i="3"/>
  <c r="AO90" i="3" s="1"/>
  <c r="AL90" i="3"/>
  <c r="AM90" i="3" s="1"/>
  <c r="AZ89" i="3"/>
  <c r="AY89" i="3"/>
  <c r="AX89" i="3"/>
  <c r="AV89" i="3"/>
  <c r="AW89" i="3" s="1"/>
  <c r="AS89" i="3"/>
  <c r="AH89" i="3" s="1"/>
  <c r="AQ89" i="3"/>
  <c r="AP89" i="3"/>
  <c r="AN89" i="3"/>
  <c r="AO89" i="3" s="1"/>
  <c r="AL89" i="3"/>
  <c r="AM89" i="3" s="1"/>
  <c r="AZ88" i="3"/>
  <c r="AY88" i="3"/>
  <c r="AX88" i="3"/>
  <c r="AV88" i="3"/>
  <c r="AW88" i="3" s="1"/>
  <c r="AS88" i="3"/>
  <c r="AH88" i="3" s="1"/>
  <c r="AQ88" i="3"/>
  <c r="AP88" i="3"/>
  <c r="AN88" i="3"/>
  <c r="AO88" i="3" s="1"/>
  <c r="AL88" i="3"/>
  <c r="AM88" i="3" s="1"/>
  <c r="AZ87" i="3"/>
  <c r="AY87" i="3"/>
  <c r="AX87" i="3"/>
  <c r="AV87" i="3"/>
  <c r="AW87" i="3" s="1"/>
  <c r="AS87" i="3"/>
  <c r="AH87" i="3" s="1"/>
  <c r="AQ87" i="3"/>
  <c r="AP87" i="3"/>
  <c r="AN87" i="3"/>
  <c r="AO87" i="3" s="1"/>
  <c r="AL87" i="3"/>
  <c r="AM87" i="3" s="1"/>
  <c r="AZ86" i="3"/>
  <c r="AY86" i="3"/>
  <c r="AX86" i="3"/>
  <c r="AV86" i="3"/>
  <c r="AW86" i="3" s="1"/>
  <c r="AS86" i="3"/>
  <c r="AH86" i="3" s="1"/>
  <c r="AQ86" i="3"/>
  <c r="AP86" i="3"/>
  <c r="AN86" i="3"/>
  <c r="AO86" i="3" s="1"/>
  <c r="AL86" i="3"/>
  <c r="AM86" i="3" s="1"/>
  <c r="AZ85" i="3"/>
  <c r="AY85" i="3"/>
  <c r="AX85" i="3"/>
  <c r="AV85" i="3"/>
  <c r="AW85" i="3" s="1"/>
  <c r="AS85" i="3"/>
  <c r="AH85" i="3" s="1"/>
  <c r="AQ85" i="3"/>
  <c r="AP85" i="3"/>
  <c r="AN85" i="3"/>
  <c r="AO85" i="3" s="1"/>
  <c r="AL85" i="3"/>
  <c r="AM85" i="3" s="1"/>
  <c r="AZ84" i="3"/>
  <c r="AY84" i="3"/>
  <c r="AX84" i="3"/>
  <c r="AV84" i="3"/>
  <c r="AW84" i="3" s="1"/>
  <c r="AS84" i="3"/>
  <c r="AH84" i="3" s="1"/>
  <c r="AQ84" i="3"/>
  <c r="AP84" i="3"/>
  <c r="AN84" i="3"/>
  <c r="AO84" i="3" s="1"/>
  <c r="AL84" i="3"/>
  <c r="AM84" i="3" s="1"/>
  <c r="AZ83" i="3"/>
  <c r="AY83" i="3"/>
  <c r="AX83" i="3"/>
  <c r="AV83" i="3"/>
  <c r="AW83" i="3" s="1"/>
  <c r="AS83" i="3"/>
  <c r="AH83" i="3" s="1"/>
  <c r="AQ83" i="3"/>
  <c r="AP83" i="3"/>
  <c r="AN83" i="3"/>
  <c r="AO83" i="3" s="1"/>
  <c r="AL83" i="3"/>
  <c r="AM83" i="3" s="1"/>
  <c r="AZ82" i="3"/>
  <c r="AY82" i="3"/>
  <c r="AX82" i="3"/>
  <c r="AV82" i="3"/>
  <c r="AW82" i="3" s="1"/>
  <c r="AS82" i="3"/>
  <c r="AH82" i="3" s="1"/>
  <c r="AQ82" i="3"/>
  <c r="AP82" i="3"/>
  <c r="AN82" i="3"/>
  <c r="AO82" i="3" s="1"/>
  <c r="AL82" i="3"/>
  <c r="AM82" i="3" s="1"/>
  <c r="AZ81" i="3"/>
  <c r="AY81" i="3"/>
  <c r="AX81" i="3"/>
  <c r="AV81" i="3"/>
  <c r="AW81" i="3" s="1"/>
  <c r="AS81" i="3"/>
  <c r="AH81" i="3" s="1"/>
  <c r="AQ81" i="3"/>
  <c r="AP81" i="3"/>
  <c r="AN81" i="3"/>
  <c r="AO81" i="3" s="1"/>
  <c r="AL81" i="3"/>
  <c r="AM81" i="3" s="1"/>
  <c r="AZ80" i="3"/>
  <c r="AY80" i="3"/>
  <c r="AX80" i="3"/>
  <c r="AV80" i="3"/>
  <c r="AW80" i="3" s="1"/>
  <c r="AS80" i="3"/>
  <c r="AH80" i="3" s="1"/>
  <c r="AQ80" i="3"/>
  <c r="AP80" i="3"/>
  <c r="AN80" i="3"/>
  <c r="AO80" i="3" s="1"/>
  <c r="AL80" i="3"/>
  <c r="AM80" i="3" s="1"/>
  <c r="AZ79" i="3"/>
  <c r="AY79" i="3"/>
  <c r="AX79" i="3"/>
  <c r="AV79" i="3"/>
  <c r="AW79" i="3" s="1"/>
  <c r="AS79" i="3"/>
  <c r="AH79" i="3" s="1"/>
  <c r="AQ79" i="3"/>
  <c r="AP79" i="3"/>
  <c r="AN79" i="3"/>
  <c r="AO79" i="3" s="1"/>
  <c r="AL79" i="3"/>
  <c r="AM79" i="3" s="1"/>
  <c r="AZ78" i="3"/>
  <c r="AY78" i="3"/>
  <c r="AX78" i="3"/>
  <c r="AV78" i="3"/>
  <c r="AW78" i="3" s="1"/>
  <c r="AS78" i="3"/>
  <c r="AH78" i="3" s="1"/>
  <c r="AQ78" i="3"/>
  <c r="AP78" i="3"/>
  <c r="AN78" i="3"/>
  <c r="AO78" i="3" s="1"/>
  <c r="AL78" i="3"/>
  <c r="AM78" i="3" s="1"/>
  <c r="AZ77" i="3"/>
  <c r="AY77" i="3"/>
  <c r="AX77" i="3"/>
  <c r="AV77" i="3"/>
  <c r="AW77" i="3" s="1"/>
  <c r="AS77" i="3"/>
  <c r="AH77" i="3" s="1"/>
  <c r="AQ77" i="3"/>
  <c r="AP77" i="3"/>
  <c r="AN77" i="3"/>
  <c r="AO77" i="3" s="1"/>
  <c r="AL77" i="3"/>
  <c r="AM77" i="3" s="1"/>
  <c r="AZ76" i="3"/>
  <c r="AY76" i="3"/>
  <c r="AX76" i="3"/>
  <c r="AV76" i="3"/>
  <c r="AW76" i="3" s="1"/>
  <c r="AS76" i="3"/>
  <c r="AH76" i="3" s="1"/>
  <c r="AQ76" i="3"/>
  <c r="AP76" i="3"/>
  <c r="AN76" i="3"/>
  <c r="AO76" i="3" s="1"/>
  <c r="AL76" i="3"/>
  <c r="AM76" i="3" s="1"/>
  <c r="AZ75" i="3"/>
  <c r="AY75" i="3"/>
  <c r="AX75" i="3"/>
  <c r="AV75" i="3"/>
  <c r="AW75" i="3" s="1"/>
  <c r="AS75" i="3"/>
  <c r="AH75" i="3" s="1"/>
  <c r="AQ75" i="3"/>
  <c r="AP75" i="3"/>
  <c r="AN75" i="3"/>
  <c r="AO75" i="3" s="1"/>
  <c r="AL75" i="3"/>
  <c r="AM75" i="3" s="1"/>
  <c r="AT93" i="3" l="1"/>
  <c r="AK93" i="3" s="1"/>
  <c r="AT88" i="3"/>
  <c r="AK88" i="3" s="1"/>
  <c r="AT85" i="3"/>
  <c r="AK85" i="3" s="1"/>
  <c r="AT77" i="3"/>
  <c r="AK77" i="3" s="1"/>
  <c r="AR79" i="3"/>
  <c r="AF79" i="3" s="1"/>
  <c r="AT80" i="3"/>
  <c r="AK80" i="3" s="1"/>
  <c r="AT89" i="3"/>
  <c r="AK89" i="3" s="1"/>
  <c r="AR75" i="3"/>
  <c r="AF75" i="3" s="1"/>
  <c r="AT76" i="3"/>
  <c r="AK76" i="3" s="1"/>
  <c r="AT81" i="3"/>
  <c r="AK81" i="3" s="1"/>
  <c r="AR83" i="3"/>
  <c r="AF83" i="3" s="1"/>
  <c r="AT84" i="3"/>
  <c r="AK84" i="3" s="1"/>
  <c r="AT87" i="3"/>
  <c r="AK87" i="3" s="1"/>
  <c r="AR90" i="3"/>
  <c r="AT92" i="3"/>
  <c r="AK92" i="3" s="1"/>
  <c r="AR85" i="3"/>
  <c r="AF85" i="3" s="1"/>
  <c r="AR89" i="3"/>
  <c r="AR93" i="3"/>
  <c r="AR76" i="3"/>
  <c r="AR80" i="3"/>
  <c r="AF80" i="3" s="1"/>
  <c r="AR84" i="3"/>
  <c r="AR88" i="3"/>
  <c r="AU88" i="3" s="1"/>
  <c r="AR86" i="3"/>
  <c r="AT86" i="3"/>
  <c r="AK86" i="3" s="1"/>
  <c r="AR87" i="3"/>
  <c r="AF87" i="3" s="1"/>
  <c r="AT75" i="3"/>
  <c r="AK75" i="3" s="1"/>
  <c r="AT78" i="3"/>
  <c r="AK78" i="3" s="1"/>
  <c r="AT79" i="3"/>
  <c r="AK79" i="3" s="1"/>
  <c r="AT82" i="3"/>
  <c r="AK82" i="3" s="1"/>
  <c r="AT83" i="3"/>
  <c r="AK83" i="3" s="1"/>
  <c r="AT91" i="3"/>
  <c r="AK91" i="3" s="1"/>
  <c r="AR78" i="3"/>
  <c r="AR82" i="3"/>
  <c r="AU82" i="3" s="1"/>
  <c r="AT90" i="3"/>
  <c r="AK90" i="3" s="1"/>
  <c r="AR91" i="3"/>
  <c r="AU91" i="3" s="1"/>
  <c r="AR92" i="3"/>
  <c r="AR77" i="3"/>
  <c r="AR81" i="3"/>
  <c r="AU93" i="3" l="1"/>
  <c r="AF88" i="3"/>
  <c r="AU85" i="3"/>
  <c r="AU79" i="3"/>
  <c r="AU84" i="3"/>
  <c r="AU75" i="3"/>
  <c r="AF84" i="3"/>
  <c r="AU87" i="3"/>
  <c r="AU90" i="3"/>
  <c r="AF82" i="3"/>
  <c r="AU86" i="3"/>
  <c r="AU76" i="3"/>
  <c r="AU83" i="3"/>
  <c r="AU92" i="3"/>
  <c r="AU80" i="3"/>
  <c r="AU89" i="3"/>
  <c r="AF76" i="3"/>
  <c r="AF86" i="3"/>
  <c r="AU78" i="3"/>
  <c r="AF78" i="3"/>
  <c r="AU81" i="3"/>
  <c r="AF81" i="3"/>
  <c r="AU77" i="3"/>
  <c r="AF77" i="3"/>
  <c r="AZ74" i="3" l="1"/>
  <c r="AY74" i="3"/>
  <c r="AX74" i="3"/>
  <c r="AV74" i="3"/>
  <c r="AW74" i="3" s="1"/>
  <c r="AS74" i="3"/>
  <c r="AH74" i="3" s="1"/>
  <c r="AQ74" i="3"/>
  <c r="AP74" i="3"/>
  <c r="AN74" i="3"/>
  <c r="AO74" i="3" s="1"/>
  <c r="AL74" i="3"/>
  <c r="AM74" i="3" s="1"/>
  <c r="AZ73" i="3"/>
  <c r="AY73" i="3"/>
  <c r="AX73" i="3"/>
  <c r="AV73" i="3"/>
  <c r="AW73" i="3" s="1"/>
  <c r="AS73" i="3"/>
  <c r="AH73" i="3" s="1"/>
  <c r="AQ73" i="3"/>
  <c r="AP73" i="3"/>
  <c r="AN73" i="3"/>
  <c r="AO73" i="3" s="1"/>
  <c r="AL73" i="3"/>
  <c r="AM73" i="3" s="1"/>
  <c r="AZ72" i="3"/>
  <c r="AY72" i="3"/>
  <c r="AX72" i="3"/>
  <c r="AV72" i="3"/>
  <c r="AW72" i="3" s="1"/>
  <c r="AS72" i="3"/>
  <c r="AH72" i="3" s="1"/>
  <c r="AQ72" i="3"/>
  <c r="AP72" i="3"/>
  <c r="AN72" i="3"/>
  <c r="AO72" i="3" s="1"/>
  <c r="AL72" i="3"/>
  <c r="AM72" i="3" s="1"/>
  <c r="AZ71" i="3"/>
  <c r="AY71" i="3"/>
  <c r="AX71" i="3"/>
  <c r="AV71" i="3"/>
  <c r="AW71" i="3" s="1"/>
  <c r="AS71" i="3"/>
  <c r="AH71" i="3" s="1"/>
  <c r="AQ71" i="3"/>
  <c r="AP71" i="3"/>
  <c r="AN71" i="3"/>
  <c r="AO71" i="3" s="1"/>
  <c r="AL71" i="3"/>
  <c r="AM71" i="3" s="1"/>
  <c r="AZ70" i="3"/>
  <c r="AY70" i="3"/>
  <c r="AX70" i="3"/>
  <c r="AV70" i="3"/>
  <c r="AW70" i="3" s="1"/>
  <c r="AS70" i="3"/>
  <c r="AH70" i="3" s="1"/>
  <c r="AQ70" i="3"/>
  <c r="AP70" i="3"/>
  <c r="AN70" i="3"/>
  <c r="AO70" i="3" s="1"/>
  <c r="AL70" i="3"/>
  <c r="AM70" i="3" s="1"/>
  <c r="AZ69" i="3"/>
  <c r="AY69" i="3"/>
  <c r="AX69" i="3"/>
  <c r="AV69" i="3"/>
  <c r="AW69" i="3" s="1"/>
  <c r="AS69" i="3"/>
  <c r="AH69" i="3" s="1"/>
  <c r="AQ69" i="3"/>
  <c r="AP69" i="3"/>
  <c r="AN69" i="3"/>
  <c r="AO69" i="3" s="1"/>
  <c r="AL69" i="3"/>
  <c r="AM69" i="3" s="1"/>
  <c r="AZ68" i="3"/>
  <c r="AY68" i="3"/>
  <c r="AX68" i="3"/>
  <c r="AV68" i="3"/>
  <c r="AW68" i="3" s="1"/>
  <c r="AS68" i="3"/>
  <c r="AH68" i="3" s="1"/>
  <c r="AQ68" i="3"/>
  <c r="AP68" i="3"/>
  <c r="AN68" i="3"/>
  <c r="AO68" i="3" s="1"/>
  <c r="AL68" i="3"/>
  <c r="AM68" i="3" s="1"/>
  <c r="AT68" i="3" l="1"/>
  <c r="AK68" i="3" s="1"/>
  <c r="AT72" i="3"/>
  <c r="AK72" i="3" s="1"/>
  <c r="AT69" i="3"/>
  <c r="AK69" i="3" s="1"/>
  <c r="AR71" i="3"/>
  <c r="AF71" i="3" s="1"/>
  <c r="AT70" i="3"/>
  <c r="AK70" i="3" s="1"/>
  <c r="AT71" i="3"/>
  <c r="AK71" i="3" s="1"/>
  <c r="AT73" i="3"/>
  <c r="AK73" i="3" s="1"/>
  <c r="AR72" i="3"/>
  <c r="AR70" i="3"/>
  <c r="AT74" i="3"/>
  <c r="AK74" i="3" s="1"/>
  <c r="AR74" i="3"/>
  <c r="AR68" i="3"/>
  <c r="AR69" i="3"/>
  <c r="AR73" i="3"/>
  <c r="AU74" i="3" l="1"/>
  <c r="AU70" i="3"/>
  <c r="AU71" i="3"/>
  <c r="AU72" i="3"/>
  <c r="AU68" i="3"/>
  <c r="AF68" i="3"/>
  <c r="AF72" i="3"/>
  <c r="AF70" i="3"/>
  <c r="AF74" i="3"/>
  <c r="AF73" i="3"/>
  <c r="AU73" i="3"/>
  <c r="AU69" i="3"/>
  <c r="AF69" i="3"/>
  <c r="AZ67" i="3" l="1"/>
  <c r="AY67" i="3"/>
  <c r="AX67" i="3"/>
  <c r="AV67" i="3"/>
  <c r="AW67" i="3" s="1"/>
  <c r="AS67" i="3"/>
  <c r="AH67" i="3" s="1"/>
  <c r="AQ67" i="3"/>
  <c r="AP67" i="3"/>
  <c r="AN67" i="3"/>
  <c r="AO67" i="3" s="1"/>
  <c r="AL67" i="3"/>
  <c r="AM67" i="3" s="1"/>
  <c r="AZ66" i="3"/>
  <c r="AY66" i="3"/>
  <c r="AX66" i="3"/>
  <c r="AV66" i="3"/>
  <c r="AW66" i="3" s="1"/>
  <c r="AS66" i="3"/>
  <c r="AH66" i="3" s="1"/>
  <c r="AQ66" i="3"/>
  <c r="AP66" i="3"/>
  <c r="AN66" i="3"/>
  <c r="AO66" i="3" s="1"/>
  <c r="AL66" i="3"/>
  <c r="AM66" i="3" s="1"/>
  <c r="AR66" i="3" l="1"/>
  <c r="AF66" i="3" s="1"/>
  <c r="AT67" i="3"/>
  <c r="AK67" i="3" s="1"/>
  <c r="AT66" i="3"/>
  <c r="AK66" i="3" s="1"/>
  <c r="AR67" i="3"/>
  <c r="AF67" i="3" s="1"/>
  <c r="AU66" i="3" l="1"/>
  <c r="AU67" i="3"/>
  <c r="AZ64" i="3"/>
  <c r="AY64" i="3"/>
  <c r="AX64" i="3"/>
  <c r="AV64" i="3"/>
  <c r="AW64" i="3" s="1"/>
  <c r="AS64" i="3"/>
  <c r="AH64" i="3" s="1"/>
  <c r="AQ64" i="3"/>
  <c r="AP64" i="3"/>
  <c r="AN64" i="3"/>
  <c r="AO64" i="3" s="1"/>
  <c r="AL64" i="3"/>
  <c r="AM64" i="3" s="1"/>
  <c r="AZ63" i="3"/>
  <c r="AY63" i="3"/>
  <c r="AX63" i="3"/>
  <c r="AV63" i="3"/>
  <c r="AW63" i="3" s="1"/>
  <c r="AS63" i="3"/>
  <c r="AH63" i="3" s="1"/>
  <c r="AQ63" i="3"/>
  <c r="AP63" i="3"/>
  <c r="AN63" i="3"/>
  <c r="AO63" i="3" s="1"/>
  <c r="AL63" i="3"/>
  <c r="AM63" i="3" s="1"/>
  <c r="AZ62" i="3"/>
  <c r="AY62" i="3"/>
  <c r="AX62" i="3"/>
  <c r="AV62" i="3"/>
  <c r="AW62" i="3" s="1"/>
  <c r="AS62" i="3"/>
  <c r="AH62" i="3" s="1"/>
  <c r="AQ62" i="3"/>
  <c r="AP62" i="3"/>
  <c r="AN62" i="3"/>
  <c r="AO62" i="3" s="1"/>
  <c r="AL62" i="3"/>
  <c r="AM62" i="3" s="1"/>
  <c r="AZ61" i="3"/>
  <c r="AY61" i="3"/>
  <c r="AX61" i="3"/>
  <c r="AV61" i="3"/>
  <c r="AW61" i="3" s="1"/>
  <c r="AS61" i="3"/>
  <c r="AH61" i="3" s="1"/>
  <c r="AQ61" i="3"/>
  <c r="AP61" i="3"/>
  <c r="AN61" i="3"/>
  <c r="AO61" i="3" s="1"/>
  <c r="AL61" i="3"/>
  <c r="AM61" i="3" s="1"/>
  <c r="AZ60" i="3"/>
  <c r="AY60" i="3"/>
  <c r="AX60" i="3"/>
  <c r="AV60" i="3"/>
  <c r="AW60" i="3" s="1"/>
  <c r="AS60" i="3"/>
  <c r="AH60" i="3" s="1"/>
  <c r="AQ60" i="3"/>
  <c r="AP60" i="3"/>
  <c r="AN60" i="3"/>
  <c r="AO60" i="3" s="1"/>
  <c r="AL60" i="3"/>
  <c r="AM60" i="3" s="1"/>
  <c r="AZ59" i="3"/>
  <c r="AY59" i="3"/>
  <c r="AX59" i="3"/>
  <c r="AV59" i="3"/>
  <c r="AW59" i="3" s="1"/>
  <c r="AS59" i="3"/>
  <c r="AH59" i="3" s="1"/>
  <c r="AQ59" i="3"/>
  <c r="AP59" i="3"/>
  <c r="AN59" i="3"/>
  <c r="AO59" i="3" s="1"/>
  <c r="AL59" i="3"/>
  <c r="AM59" i="3" s="1"/>
  <c r="AZ58" i="3"/>
  <c r="AY58" i="3"/>
  <c r="AX58" i="3"/>
  <c r="AV58" i="3"/>
  <c r="AW58" i="3" s="1"/>
  <c r="AS58" i="3"/>
  <c r="AH58" i="3" s="1"/>
  <c r="AQ58" i="3"/>
  <c r="AP58" i="3"/>
  <c r="AN58" i="3"/>
  <c r="AO58" i="3" s="1"/>
  <c r="AL58" i="3"/>
  <c r="AM58" i="3" s="1"/>
  <c r="AZ57" i="3"/>
  <c r="AY57" i="3"/>
  <c r="AX57" i="3"/>
  <c r="AV57" i="3"/>
  <c r="AW57" i="3" s="1"/>
  <c r="AS57" i="3"/>
  <c r="AH57" i="3" s="1"/>
  <c r="AQ57" i="3"/>
  <c r="AP57" i="3"/>
  <c r="AN57" i="3"/>
  <c r="AO57" i="3" s="1"/>
  <c r="AL57" i="3"/>
  <c r="AM57" i="3" s="1"/>
  <c r="AT58" i="3" l="1"/>
  <c r="AK58" i="3" s="1"/>
  <c r="AT62" i="3"/>
  <c r="AK62" i="3" s="1"/>
  <c r="AT64" i="3"/>
  <c r="AK64" i="3" s="1"/>
  <c r="AT60" i="3"/>
  <c r="AK60" i="3" s="1"/>
  <c r="AR57" i="3"/>
  <c r="AF57" i="3" s="1"/>
  <c r="AR59" i="3"/>
  <c r="AR63" i="3"/>
  <c r="AF63" i="3" s="1"/>
  <c r="AR58" i="3"/>
  <c r="AF58" i="3" s="1"/>
  <c r="AR60" i="3"/>
  <c r="AF60" i="3" s="1"/>
  <c r="AR62" i="3"/>
  <c r="AF62" i="3" s="1"/>
  <c r="AR64" i="3"/>
  <c r="AF64" i="3" s="1"/>
  <c r="AR61" i="3"/>
  <c r="AT57" i="3"/>
  <c r="AK57" i="3" s="1"/>
  <c r="AT59" i="3"/>
  <c r="AK59" i="3" s="1"/>
  <c r="AT61" i="3"/>
  <c r="AK61" i="3" s="1"/>
  <c r="AT63" i="3"/>
  <c r="AK63" i="3" s="1"/>
  <c r="AU60" i="3" l="1"/>
  <c r="AU62" i="3"/>
  <c r="AU59" i="3"/>
  <c r="AF59" i="3"/>
  <c r="AU64" i="3"/>
  <c r="AU61" i="3"/>
  <c r="AU57" i="3"/>
  <c r="AU58" i="3"/>
  <c r="AF61" i="3"/>
  <c r="AU63" i="3"/>
  <c r="AF10" i="3"/>
  <c r="AF11" i="3"/>
  <c r="AF12" i="3"/>
  <c r="AF13" i="3"/>
  <c r="AZ56" i="3"/>
  <c r="AY56" i="3"/>
  <c r="AX56" i="3"/>
  <c r="AV56" i="3"/>
  <c r="AW56" i="3" s="1"/>
  <c r="AS56" i="3"/>
  <c r="AQ56" i="3"/>
  <c r="AP56" i="3"/>
  <c r="AN56" i="3"/>
  <c r="AO56" i="3" s="1"/>
  <c r="AL56" i="3"/>
  <c r="AM56" i="3" s="1"/>
  <c r="AZ55" i="3"/>
  <c r="AY55" i="3"/>
  <c r="AX55" i="3"/>
  <c r="AV55" i="3"/>
  <c r="AW55" i="3" s="1"/>
  <c r="AS55" i="3"/>
  <c r="AQ55" i="3"/>
  <c r="AP55" i="3"/>
  <c r="AN55" i="3"/>
  <c r="AO55" i="3" s="1"/>
  <c r="AL55" i="3"/>
  <c r="AM55" i="3" s="1"/>
  <c r="AZ54" i="3"/>
  <c r="AY54" i="3"/>
  <c r="AX54" i="3"/>
  <c r="AV54" i="3"/>
  <c r="AW54" i="3" s="1"/>
  <c r="AS54" i="3"/>
  <c r="AQ54" i="3"/>
  <c r="AP54" i="3"/>
  <c r="AN54" i="3"/>
  <c r="AO54" i="3" s="1"/>
  <c r="AL54" i="3"/>
  <c r="AM54" i="3" s="1"/>
  <c r="AZ53" i="3"/>
  <c r="AY53" i="3"/>
  <c r="AX53" i="3"/>
  <c r="AV53" i="3"/>
  <c r="AW53" i="3" s="1"/>
  <c r="AS53" i="3"/>
  <c r="AQ53" i="3"/>
  <c r="AP53" i="3"/>
  <c r="AN53" i="3"/>
  <c r="AO53" i="3" s="1"/>
  <c r="AL53" i="3"/>
  <c r="AM53" i="3" s="1"/>
  <c r="AZ52" i="3"/>
  <c r="AY52" i="3"/>
  <c r="AX52" i="3"/>
  <c r="AV52" i="3"/>
  <c r="AW52" i="3" s="1"/>
  <c r="AS52" i="3"/>
  <c r="AH56" i="3" s="1"/>
  <c r="AQ52" i="3"/>
  <c r="AP52" i="3"/>
  <c r="AN52" i="3"/>
  <c r="AO52" i="3" s="1"/>
  <c r="AL52" i="3"/>
  <c r="AM52" i="3" s="1"/>
  <c r="AH52" i="3" l="1"/>
  <c r="AT54" i="3"/>
  <c r="AK54" i="3" s="1"/>
  <c r="AR53" i="3"/>
  <c r="AF53" i="3" s="1"/>
  <c r="AT55" i="3"/>
  <c r="AK55" i="3" s="1"/>
  <c r="AR56" i="3"/>
  <c r="AT52" i="3"/>
  <c r="AK52" i="3" s="1"/>
  <c r="AH54" i="3"/>
  <c r="AT53" i="3"/>
  <c r="AK53" i="3" s="1"/>
  <c r="AR52" i="3"/>
  <c r="AR55" i="3"/>
  <c r="AF55" i="3" s="1"/>
  <c r="AT56" i="3"/>
  <c r="AK56" i="3" s="1"/>
  <c r="AR54" i="3"/>
  <c r="AH53" i="3"/>
  <c r="AH55" i="3"/>
  <c r="AU55" i="3" l="1"/>
  <c r="AU52" i="3"/>
  <c r="AU53" i="3"/>
  <c r="AF52" i="3"/>
  <c r="AU56" i="3"/>
  <c r="AU54" i="3"/>
  <c r="AF54" i="3"/>
  <c r="AZ51" i="3" l="1"/>
  <c r="AY51" i="3"/>
  <c r="AX51" i="3"/>
  <c r="AV51" i="3"/>
  <c r="AW51" i="3" s="1"/>
  <c r="AS51" i="3"/>
  <c r="AH51" i="3" s="1"/>
  <c r="AQ51" i="3"/>
  <c r="AP51" i="3"/>
  <c r="AN51" i="3"/>
  <c r="AO51" i="3" s="1"/>
  <c r="AL51" i="3"/>
  <c r="AM51" i="3" s="1"/>
  <c r="AZ50" i="3"/>
  <c r="AY50" i="3"/>
  <c r="AX50" i="3"/>
  <c r="AV50" i="3"/>
  <c r="AW50" i="3" s="1"/>
  <c r="AS50" i="3"/>
  <c r="AH50" i="3" s="1"/>
  <c r="AQ50" i="3"/>
  <c r="AP50" i="3"/>
  <c r="AN50" i="3"/>
  <c r="AO50" i="3" s="1"/>
  <c r="AL50" i="3"/>
  <c r="AM50" i="3" s="1"/>
  <c r="AZ49" i="3"/>
  <c r="AY49" i="3"/>
  <c r="AX49" i="3"/>
  <c r="AV49" i="3"/>
  <c r="AW49" i="3" s="1"/>
  <c r="AS49" i="3"/>
  <c r="AH49" i="3" s="1"/>
  <c r="AQ49" i="3"/>
  <c r="AP49" i="3"/>
  <c r="AN49" i="3"/>
  <c r="AO49" i="3" s="1"/>
  <c r="AL49" i="3"/>
  <c r="AM49" i="3" s="1"/>
  <c r="AZ48" i="3"/>
  <c r="AY48" i="3"/>
  <c r="AX48" i="3"/>
  <c r="AV48" i="3"/>
  <c r="AW48" i="3" s="1"/>
  <c r="AS48" i="3"/>
  <c r="AH48" i="3" s="1"/>
  <c r="AQ48" i="3"/>
  <c r="AP48" i="3"/>
  <c r="AN48" i="3"/>
  <c r="AO48" i="3" s="1"/>
  <c r="AL48" i="3"/>
  <c r="AM48" i="3" s="1"/>
  <c r="AZ47" i="3"/>
  <c r="AY47" i="3"/>
  <c r="AX47" i="3"/>
  <c r="AV47" i="3"/>
  <c r="AW47" i="3" s="1"/>
  <c r="AS47" i="3"/>
  <c r="AH47" i="3" s="1"/>
  <c r="AQ47" i="3"/>
  <c r="AP47" i="3"/>
  <c r="AN47" i="3"/>
  <c r="AO47" i="3" s="1"/>
  <c r="AL47" i="3"/>
  <c r="AM47" i="3" s="1"/>
  <c r="AR48" i="3" l="1"/>
  <c r="AF48" i="3" s="1"/>
  <c r="AT50" i="3"/>
  <c r="AK50" i="3" s="1"/>
  <c r="AR50" i="3"/>
  <c r="AF50" i="3" s="1"/>
  <c r="AR47" i="3"/>
  <c r="AF47" i="3" s="1"/>
  <c r="AT47" i="3"/>
  <c r="AK47" i="3" s="1"/>
  <c r="AT48" i="3"/>
  <c r="AK48" i="3" s="1"/>
  <c r="AT51" i="3"/>
  <c r="AK51" i="3" s="1"/>
  <c r="AR51" i="3"/>
  <c r="AF51" i="3" s="1"/>
  <c r="AT49" i="3"/>
  <c r="AK49" i="3" s="1"/>
  <c r="AR49" i="3"/>
  <c r="AF49" i="3" s="1"/>
  <c r="AU47" i="3" l="1"/>
  <c r="AU49" i="3"/>
  <c r="AU50" i="3"/>
  <c r="AU51" i="3"/>
  <c r="AU48" i="3"/>
  <c r="AS46" i="3"/>
  <c r="AH46" i="3" s="1"/>
  <c r="AQ46" i="3"/>
  <c r="AP46" i="3"/>
  <c r="AN46" i="3"/>
  <c r="AO46" i="3" s="1"/>
  <c r="AL46" i="3"/>
  <c r="AM46" i="3" s="1"/>
  <c r="AS45" i="3"/>
  <c r="AH45" i="3" s="1"/>
  <c r="AQ45" i="3"/>
  <c r="AP45" i="3"/>
  <c r="AN45" i="3"/>
  <c r="AO45" i="3" s="1"/>
  <c r="AL45" i="3"/>
  <c r="AM45" i="3" s="1"/>
  <c r="AS44" i="3"/>
  <c r="AH44" i="3" s="1"/>
  <c r="AQ44" i="3"/>
  <c r="AP44" i="3"/>
  <c r="AN44" i="3"/>
  <c r="AO44" i="3" s="1"/>
  <c r="AL44" i="3"/>
  <c r="AM44" i="3" s="1"/>
  <c r="AS43" i="3"/>
  <c r="AH43" i="3" s="1"/>
  <c r="AQ43" i="3"/>
  <c r="AP43" i="3"/>
  <c r="AN43" i="3"/>
  <c r="AO43" i="3" s="1"/>
  <c r="AL43" i="3"/>
  <c r="AM43" i="3" s="1"/>
  <c r="AZ42" i="3"/>
  <c r="AY42" i="3"/>
  <c r="AX42" i="3"/>
  <c r="AV42" i="3"/>
  <c r="AW42" i="3" s="1"/>
  <c r="AS42" i="3"/>
  <c r="AH42" i="3" s="1"/>
  <c r="AQ42" i="3"/>
  <c r="AP42" i="3"/>
  <c r="AN42" i="3"/>
  <c r="AO42" i="3" s="1"/>
  <c r="AL42" i="3"/>
  <c r="AM42" i="3" s="1"/>
  <c r="AV41" i="3"/>
  <c r="AW41" i="3" s="1"/>
  <c r="AS41" i="3"/>
  <c r="AH41" i="3" s="1"/>
  <c r="AQ41" i="3"/>
  <c r="AP41" i="3"/>
  <c r="AN41" i="3"/>
  <c r="AO41" i="3" s="1"/>
  <c r="AL41" i="3"/>
  <c r="AM41" i="3" s="1"/>
  <c r="AK46" i="3"/>
  <c r="AR45" i="3" l="1"/>
  <c r="AF45" i="3" s="1"/>
  <c r="AT46" i="3"/>
  <c r="AR41" i="3"/>
  <c r="AF41" i="3" s="1"/>
  <c r="AR42" i="3"/>
  <c r="AT42" i="3"/>
  <c r="AR43" i="3"/>
  <c r="AT45" i="3"/>
  <c r="AT44" i="3"/>
  <c r="AR44" i="3"/>
  <c r="AR46" i="3"/>
  <c r="AF46" i="3" s="1"/>
  <c r="AT41" i="3"/>
  <c r="AK41" i="3" s="1"/>
  <c r="AT43" i="3"/>
  <c r="AW43" i="3"/>
  <c r="AW45" i="3"/>
  <c r="AW44" i="3"/>
  <c r="AW46" i="3"/>
  <c r="AU46" i="3" l="1"/>
  <c r="AF43" i="3"/>
  <c r="AU43" i="3"/>
  <c r="AF44" i="3"/>
  <c r="AU44" i="3"/>
  <c r="AU45" i="3"/>
  <c r="AU41" i="3"/>
  <c r="AU42" i="3"/>
  <c r="AZ40" i="3"/>
  <c r="AY40" i="3"/>
  <c r="AX40" i="3"/>
  <c r="AV40" i="3"/>
  <c r="AW40" i="3" s="1"/>
  <c r="AS40" i="3"/>
  <c r="AH40" i="3" s="1"/>
  <c r="AQ40" i="3"/>
  <c r="AP40" i="3"/>
  <c r="AN40" i="3"/>
  <c r="AO40" i="3" s="1"/>
  <c r="AL40" i="3"/>
  <c r="AM40" i="3" s="1"/>
  <c r="AZ39" i="3"/>
  <c r="AY39" i="3"/>
  <c r="AX39" i="3"/>
  <c r="AV39" i="3"/>
  <c r="AW39" i="3" s="1"/>
  <c r="AS39" i="3"/>
  <c r="AH39" i="3" s="1"/>
  <c r="AQ39" i="3"/>
  <c r="AP39" i="3"/>
  <c r="AN39" i="3"/>
  <c r="AO39" i="3" s="1"/>
  <c r="AL39" i="3"/>
  <c r="AM39" i="3" s="1"/>
  <c r="AV38" i="3"/>
  <c r="AW38" i="3" s="1"/>
  <c r="AS38" i="3"/>
  <c r="AH38" i="3" s="1"/>
  <c r="AQ38" i="3"/>
  <c r="AP38" i="3"/>
  <c r="AN38" i="3"/>
  <c r="AO38" i="3" s="1"/>
  <c r="AL38" i="3"/>
  <c r="AM38" i="3" s="1"/>
  <c r="AV37" i="3"/>
  <c r="AW37" i="3" s="1"/>
  <c r="AS37" i="3"/>
  <c r="AH37" i="3" s="1"/>
  <c r="AQ37" i="3"/>
  <c r="AP37" i="3"/>
  <c r="AN37" i="3"/>
  <c r="AO37" i="3" s="1"/>
  <c r="AL37" i="3"/>
  <c r="AM37" i="3" s="1"/>
  <c r="AV36" i="3"/>
  <c r="AW36" i="3" s="1"/>
  <c r="AS36" i="3"/>
  <c r="AH36" i="3" s="1"/>
  <c r="AQ36" i="3"/>
  <c r="AP36" i="3"/>
  <c r="AN36" i="3"/>
  <c r="AO36" i="3" s="1"/>
  <c r="AL36" i="3"/>
  <c r="AM36" i="3" s="1"/>
  <c r="AZ35" i="3"/>
  <c r="AY35" i="3"/>
  <c r="AX35" i="3"/>
  <c r="AV35" i="3"/>
  <c r="AW35" i="3" s="1"/>
  <c r="AS35" i="3"/>
  <c r="AH35" i="3" s="1"/>
  <c r="AQ35" i="3"/>
  <c r="AP35" i="3"/>
  <c r="AN35" i="3"/>
  <c r="AO35" i="3" s="1"/>
  <c r="AL35" i="3"/>
  <c r="AM35" i="3" s="1"/>
  <c r="AV34" i="3"/>
  <c r="AW34" i="3" s="1"/>
  <c r="AS34" i="3"/>
  <c r="AH34" i="3" s="1"/>
  <c r="AQ34" i="3"/>
  <c r="AP34" i="3"/>
  <c r="AN34" i="3"/>
  <c r="AO34" i="3" s="1"/>
  <c r="AL34" i="3"/>
  <c r="AM34" i="3" s="1"/>
  <c r="AT34" i="3" l="1"/>
  <c r="AK34" i="3" s="1"/>
  <c r="AR35" i="3"/>
  <c r="AR36" i="3"/>
  <c r="AT37" i="3"/>
  <c r="AR38" i="3"/>
  <c r="AT39" i="3"/>
  <c r="AR34" i="3"/>
  <c r="AF34" i="3" s="1"/>
  <c r="AT35" i="3"/>
  <c r="AT40" i="3"/>
  <c r="AT36" i="3"/>
  <c r="AR37" i="3"/>
  <c r="AT38" i="3"/>
  <c r="AR39" i="3"/>
  <c r="AR40" i="3"/>
  <c r="AU39" i="3" l="1"/>
  <c r="AU36" i="3"/>
  <c r="AU35" i="3"/>
  <c r="AU40" i="3"/>
  <c r="AU34" i="3"/>
  <c r="AU38" i="3"/>
  <c r="AU37" i="3"/>
  <c r="AZ33" i="3"/>
  <c r="AY33" i="3"/>
  <c r="AX33" i="3"/>
  <c r="AV33" i="3"/>
  <c r="AW33" i="3" s="1"/>
  <c r="AS33" i="3"/>
  <c r="AH33" i="3" s="1"/>
  <c r="AQ33" i="3"/>
  <c r="AP33" i="3"/>
  <c r="AN33" i="3"/>
  <c r="AO33" i="3" s="1"/>
  <c r="AL33" i="3"/>
  <c r="AM33" i="3" s="1"/>
  <c r="AZ32" i="3"/>
  <c r="AY32" i="3"/>
  <c r="AX32" i="3"/>
  <c r="AV32" i="3"/>
  <c r="AW32" i="3" s="1"/>
  <c r="AS32" i="3"/>
  <c r="AH32" i="3" s="1"/>
  <c r="AQ32" i="3"/>
  <c r="AP32" i="3"/>
  <c r="AN32" i="3"/>
  <c r="AO32" i="3" s="1"/>
  <c r="AL32" i="3"/>
  <c r="AM32" i="3" s="1"/>
  <c r="AZ31" i="3"/>
  <c r="AY31" i="3"/>
  <c r="AX31" i="3"/>
  <c r="AV31" i="3"/>
  <c r="AW31" i="3" s="1"/>
  <c r="AS31" i="3"/>
  <c r="AH31" i="3" s="1"/>
  <c r="AQ31" i="3"/>
  <c r="AP31" i="3"/>
  <c r="AN31" i="3"/>
  <c r="AO31" i="3" s="1"/>
  <c r="AL31" i="3"/>
  <c r="AM31" i="3" s="1"/>
  <c r="AZ30" i="3"/>
  <c r="AY30" i="3"/>
  <c r="AX30" i="3"/>
  <c r="AV30" i="3"/>
  <c r="AW30" i="3" s="1"/>
  <c r="AS30" i="3"/>
  <c r="AH30" i="3" s="1"/>
  <c r="AQ30" i="3"/>
  <c r="AP30" i="3"/>
  <c r="AN30" i="3"/>
  <c r="AO30" i="3" s="1"/>
  <c r="AL30" i="3"/>
  <c r="AM30" i="3" s="1"/>
  <c r="AZ29" i="3"/>
  <c r="AY29" i="3"/>
  <c r="AX29" i="3"/>
  <c r="AV29" i="3"/>
  <c r="AW29" i="3" s="1"/>
  <c r="AS29" i="3"/>
  <c r="AH29" i="3" s="1"/>
  <c r="AQ29" i="3"/>
  <c r="AP29" i="3"/>
  <c r="AN29" i="3"/>
  <c r="AO29" i="3" s="1"/>
  <c r="AL29" i="3"/>
  <c r="AM29" i="3" s="1"/>
  <c r="AZ28" i="3"/>
  <c r="AY28" i="3"/>
  <c r="AX28" i="3"/>
  <c r="AV28" i="3"/>
  <c r="AW28" i="3" s="1"/>
  <c r="AS28" i="3"/>
  <c r="AH28" i="3" s="1"/>
  <c r="AQ28" i="3"/>
  <c r="AP28" i="3"/>
  <c r="AN28" i="3"/>
  <c r="AO28" i="3" s="1"/>
  <c r="AL28" i="3"/>
  <c r="AM28" i="3" s="1"/>
  <c r="AZ27" i="3"/>
  <c r="AY27" i="3"/>
  <c r="AX27" i="3"/>
  <c r="AV27" i="3"/>
  <c r="AW27" i="3" s="1"/>
  <c r="AS27" i="3"/>
  <c r="AH27" i="3" s="1"/>
  <c r="AQ27" i="3"/>
  <c r="AP27" i="3"/>
  <c r="AN27" i="3"/>
  <c r="AO27" i="3" s="1"/>
  <c r="AL27" i="3"/>
  <c r="AM27" i="3" s="1"/>
  <c r="AZ26" i="3"/>
  <c r="AY26" i="3"/>
  <c r="AX26" i="3"/>
  <c r="AV26" i="3"/>
  <c r="AW26" i="3" s="1"/>
  <c r="AS26" i="3"/>
  <c r="AH26" i="3" s="1"/>
  <c r="AQ26" i="3"/>
  <c r="AP26" i="3"/>
  <c r="AN26" i="3"/>
  <c r="AO26" i="3" s="1"/>
  <c r="AL26" i="3"/>
  <c r="AM26" i="3" s="1"/>
  <c r="AT32" i="3" l="1"/>
  <c r="AK32" i="3" s="1"/>
  <c r="AR26" i="3"/>
  <c r="AF26" i="3" s="1"/>
  <c r="AT28" i="3"/>
  <c r="AK28" i="3" s="1"/>
  <c r="AR30" i="3"/>
  <c r="AT27" i="3"/>
  <c r="AK27" i="3" s="1"/>
  <c r="AT31" i="3"/>
  <c r="AK31" i="3" s="1"/>
  <c r="AR27" i="3"/>
  <c r="AF27" i="3" s="1"/>
  <c r="AR28" i="3"/>
  <c r="AF28" i="3" s="1"/>
  <c r="AR31" i="3"/>
  <c r="AR32" i="3"/>
  <c r="AU12" i="3" s="1"/>
  <c r="AT26" i="3"/>
  <c r="AK26" i="3" s="1"/>
  <c r="AT29" i="3"/>
  <c r="AK29" i="3" s="1"/>
  <c r="AT30" i="3"/>
  <c r="AK30" i="3" s="1"/>
  <c r="AT33" i="3"/>
  <c r="AK33" i="3" s="1"/>
  <c r="AR29" i="3"/>
  <c r="AF29" i="3" s="1"/>
  <c r="AR33" i="3"/>
  <c r="AF33" i="3" s="1"/>
  <c r="AF30" i="3" l="1"/>
  <c r="AU10" i="3"/>
  <c r="AF32" i="3"/>
  <c r="AF31" i="3"/>
  <c r="AU11" i="3"/>
  <c r="AU28" i="3"/>
  <c r="AU26" i="3"/>
  <c r="AU32" i="3"/>
  <c r="AU31" i="3"/>
  <c r="AU29" i="3"/>
  <c r="AU27" i="3"/>
  <c r="AU30" i="3"/>
  <c r="AU33" i="3"/>
  <c r="AZ25" i="3"/>
  <c r="AY25" i="3"/>
  <c r="AX25" i="3"/>
  <c r="AV25" i="3"/>
  <c r="AW25" i="3" s="1"/>
  <c r="AS25" i="3"/>
  <c r="AH25" i="3" s="1"/>
  <c r="AQ25" i="3"/>
  <c r="AP25" i="3"/>
  <c r="AN25" i="3"/>
  <c r="AO25" i="3" s="1"/>
  <c r="AL25" i="3"/>
  <c r="AM25" i="3" s="1"/>
  <c r="AZ24" i="3"/>
  <c r="AY24" i="3"/>
  <c r="AX24" i="3"/>
  <c r="AV24" i="3"/>
  <c r="AW24" i="3" s="1"/>
  <c r="AS24" i="3"/>
  <c r="AH24" i="3" s="1"/>
  <c r="AQ24" i="3"/>
  <c r="AP24" i="3"/>
  <c r="AN24" i="3"/>
  <c r="AO24" i="3" s="1"/>
  <c r="AL24" i="3"/>
  <c r="AM24" i="3" s="1"/>
  <c r="AZ23" i="3"/>
  <c r="AY23" i="3"/>
  <c r="AX23" i="3"/>
  <c r="AV23" i="3"/>
  <c r="AW23" i="3" s="1"/>
  <c r="AS23" i="3"/>
  <c r="AH23" i="3" s="1"/>
  <c r="AQ23" i="3"/>
  <c r="AP23" i="3"/>
  <c r="AN23" i="3"/>
  <c r="AO23" i="3" s="1"/>
  <c r="AL23" i="3"/>
  <c r="AM23" i="3" s="1"/>
  <c r="AZ22" i="3"/>
  <c r="AY22" i="3"/>
  <c r="AX22" i="3"/>
  <c r="AV22" i="3"/>
  <c r="AW22" i="3" s="1"/>
  <c r="AS22" i="3"/>
  <c r="AH22" i="3" s="1"/>
  <c r="AQ22" i="3"/>
  <c r="AP22" i="3"/>
  <c r="AN22" i="3"/>
  <c r="AO22" i="3" s="1"/>
  <c r="AL22" i="3"/>
  <c r="AM22" i="3" s="1"/>
  <c r="AT24" i="3" l="1"/>
  <c r="AT22" i="3"/>
  <c r="AK22" i="3" s="1"/>
  <c r="AT23" i="3"/>
  <c r="AT25" i="3"/>
  <c r="AR24" i="3"/>
  <c r="AR25" i="3"/>
  <c r="AR22" i="3"/>
  <c r="AR23" i="3"/>
  <c r="AU23" i="3" l="1"/>
  <c r="AU24" i="3"/>
  <c r="AU25" i="3"/>
  <c r="AU22" i="3"/>
  <c r="AF22" i="3"/>
  <c r="AZ21" i="3"/>
  <c r="AY21" i="3"/>
  <c r="AX21" i="3"/>
  <c r="AV21" i="3"/>
  <c r="AW21" i="3" s="1"/>
  <c r="AS21" i="3"/>
  <c r="AH21" i="3" s="1"/>
  <c r="AQ21" i="3"/>
  <c r="AP21" i="3"/>
  <c r="AN21" i="3"/>
  <c r="AO21" i="3" s="1"/>
  <c r="AL21" i="3"/>
  <c r="AM21" i="3" s="1"/>
  <c r="AZ20" i="3"/>
  <c r="AY20" i="3"/>
  <c r="AX20" i="3"/>
  <c r="AV20" i="3"/>
  <c r="AW20" i="3" s="1"/>
  <c r="AS20" i="3"/>
  <c r="AH20" i="3" s="1"/>
  <c r="AQ20" i="3"/>
  <c r="AP20" i="3"/>
  <c r="AN20" i="3"/>
  <c r="AO20" i="3" s="1"/>
  <c r="AL20" i="3"/>
  <c r="AM20" i="3" s="1"/>
  <c r="AZ19" i="3"/>
  <c r="AY19" i="3"/>
  <c r="AX19" i="3"/>
  <c r="AV19" i="3"/>
  <c r="AW19" i="3" s="1"/>
  <c r="AS19" i="3"/>
  <c r="AH19" i="3" s="1"/>
  <c r="AQ19" i="3"/>
  <c r="AP19" i="3"/>
  <c r="AN19" i="3"/>
  <c r="AO19" i="3" s="1"/>
  <c r="AL19" i="3"/>
  <c r="AM19" i="3" s="1"/>
  <c r="AZ18" i="3"/>
  <c r="AY18" i="3"/>
  <c r="AX18" i="3"/>
  <c r="AV18" i="3"/>
  <c r="AW18" i="3" s="1"/>
  <c r="AS18" i="3"/>
  <c r="AH18" i="3" s="1"/>
  <c r="AQ18" i="3"/>
  <c r="AP18" i="3"/>
  <c r="AN18" i="3"/>
  <c r="AO18" i="3" s="1"/>
  <c r="AL18" i="3"/>
  <c r="AM18" i="3" s="1"/>
  <c r="AZ17" i="3"/>
  <c r="AY17" i="3"/>
  <c r="AX17" i="3"/>
  <c r="AV17" i="3"/>
  <c r="AW17" i="3" s="1"/>
  <c r="AS17" i="3"/>
  <c r="AQ17" i="3"/>
  <c r="AP17" i="3"/>
  <c r="AN17" i="3"/>
  <c r="AO17" i="3" s="1"/>
  <c r="AL17" i="3"/>
  <c r="AM17" i="3" s="1"/>
  <c r="AZ16" i="3"/>
  <c r="AY16" i="3"/>
  <c r="AX16" i="3"/>
  <c r="AV16" i="3"/>
  <c r="AW16" i="3" s="1"/>
  <c r="AS16" i="3"/>
  <c r="AH16" i="3" s="1"/>
  <c r="AQ16" i="3"/>
  <c r="AP16" i="3"/>
  <c r="AN16" i="3"/>
  <c r="AO16" i="3" s="1"/>
  <c r="AL16" i="3"/>
  <c r="AM16" i="3" s="1"/>
  <c r="AZ15" i="3"/>
  <c r="AY15" i="3"/>
  <c r="AX15" i="3"/>
  <c r="AV15" i="3"/>
  <c r="AW15" i="3" s="1"/>
  <c r="AS15" i="3"/>
  <c r="AH15" i="3" s="1"/>
  <c r="AQ15" i="3"/>
  <c r="AP15" i="3"/>
  <c r="AN15" i="3"/>
  <c r="AO15" i="3" s="1"/>
  <c r="AL15" i="3"/>
  <c r="AM15" i="3" s="1"/>
  <c r="AZ14" i="3"/>
  <c r="AY14" i="3"/>
  <c r="AV14" i="3"/>
  <c r="AW14" i="3" s="1"/>
  <c r="AS14" i="3"/>
  <c r="AH14" i="3" s="1"/>
  <c r="AQ14" i="3"/>
  <c r="AP14" i="3"/>
  <c r="AN14" i="3"/>
  <c r="AO14" i="3" s="1"/>
  <c r="AL14" i="3"/>
  <c r="AM14" i="3" s="1"/>
  <c r="AH17" i="3" l="1"/>
  <c r="AH12" i="3"/>
  <c r="AR18" i="3"/>
  <c r="AT20" i="3"/>
  <c r="AK20" i="3" s="1"/>
  <c r="AT21" i="3"/>
  <c r="AK21" i="3" s="1"/>
  <c r="AR14" i="3"/>
  <c r="AF14" i="3" s="1"/>
  <c r="AT19" i="3"/>
  <c r="AK19" i="3" s="1"/>
  <c r="AR15" i="3"/>
  <c r="AR19" i="3"/>
  <c r="AT15" i="3"/>
  <c r="AK15" i="3" s="1"/>
  <c r="AT17" i="3"/>
  <c r="AK17" i="3" s="1"/>
  <c r="AR20" i="3"/>
  <c r="AU20" i="3" s="1"/>
  <c r="AT16" i="3"/>
  <c r="AK16" i="3" s="1"/>
  <c r="AR16" i="3"/>
  <c r="AT14" i="3"/>
  <c r="AK14" i="3" s="1"/>
  <c r="AT18" i="3"/>
  <c r="AK18" i="3" s="1"/>
  <c r="AR17" i="3"/>
  <c r="AR21" i="3"/>
  <c r="AU21" i="3" l="1"/>
  <c r="AU17" i="3"/>
  <c r="AU19" i="3"/>
  <c r="AU16" i="3"/>
  <c r="AU15" i="3"/>
  <c r="AU18" i="3"/>
  <c r="AU14" i="3"/>
  <c r="AW13" i="3"/>
  <c r="AW12" i="3"/>
  <c r="AW11" i="3"/>
  <c r="AW10" i="3"/>
  <c r="F15" i="5" l="1"/>
  <c r="F8" i="5"/>
  <c r="F41" i="5" l="1"/>
  <c r="F40" i="5"/>
</calcChain>
</file>

<file path=xl/sharedStrings.xml><?xml version="1.0" encoding="utf-8"?>
<sst xmlns="http://schemas.openxmlformats.org/spreadsheetml/2006/main" count="4873" uniqueCount="857">
  <si>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</si>
  <si>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</si>
  <si>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</si>
  <si>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</si>
  <si>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</si>
  <si>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</si>
  <si>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</si>
  <si>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</si>
  <si>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</si>
  <si>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</si>
  <si>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</si>
  <si>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</si>
  <si>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</si>
  <si>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</si>
  <si>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</si>
  <si>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</si>
  <si>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</si>
  <si>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</si>
  <si>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</si>
  <si>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</si>
  <si>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</si>
  <si>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</si>
  <si>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</si>
  <si>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</si>
  <si>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</si>
  <si>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</si>
  <si>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</si>
  <si>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</si>
  <si>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</si>
  <si>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</si>
  <si>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</si>
  <si>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</si>
  <si>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</si>
  <si>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</si>
  <si>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</si>
  <si>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</si>
  <si>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</si>
  <si>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</si>
  <si>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</si>
  <si>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</si>
  <si>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</si>
  <si>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</si>
  <si>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</si>
  <si>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</si>
  <si>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Información Publicada /  Disponible</t>
  </si>
  <si>
    <t>Tipo de Proceso</t>
  </si>
  <si>
    <t>Clasificación de la información</t>
  </si>
  <si>
    <t>Nombre del responsable de la identificación de activos del proceso o dependencia</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</si>
  <si>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</si>
  <si>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</si>
  <si>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</si>
  <si>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</si>
  <si>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</si>
  <si>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</si>
  <si>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</si>
  <si>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</si>
  <si>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</si>
  <si>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</si>
  <si>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</si>
  <si>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</si>
  <si>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</si>
  <si>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</si>
  <si>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</si>
  <si>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</si>
  <si>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</si>
  <si>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</si>
  <si>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</si>
  <si>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</si>
  <si>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</si>
  <si>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</si>
  <si>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</si>
  <si>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</si>
  <si>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</si>
  <si>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</si>
  <si>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</si>
  <si>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</si>
  <si>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</si>
  <si>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</si>
  <si>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</si>
  <si>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</si>
  <si>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</si>
  <si>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</si>
  <si>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</si>
  <si>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</si>
  <si>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</si>
  <si>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</si>
  <si>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</si>
  <si>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</si>
  <si>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</si>
  <si>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</si>
  <si>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</si>
  <si>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</si>
  <si>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</si>
  <si>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INFORMACIÓN PÚBLICA CLASIFICADA</t>
  </si>
  <si>
    <t>INFORMACIÓN PÚBLICA RESERVADA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</si>
  <si>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</si>
  <si>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</si>
  <si>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</si>
  <si>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</si>
  <si>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</si>
  <si>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</si>
  <si>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</si>
  <si>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</si>
  <si>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</si>
  <si>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</si>
  <si>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</si>
  <si>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</si>
  <si>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</si>
  <si>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</si>
  <si>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</si>
  <si>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</si>
  <si>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</si>
  <si>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</si>
  <si>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</si>
  <si>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</si>
  <si>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</si>
  <si>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</si>
  <si>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</si>
  <si>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</si>
  <si>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</si>
  <si>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</si>
  <si>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</si>
  <si>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</si>
  <si>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</si>
  <si>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</si>
  <si>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</si>
  <si>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</si>
  <si>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</si>
  <si>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</si>
  <si>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</si>
  <si>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</si>
  <si>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</si>
  <si>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</si>
  <si>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</si>
  <si>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</si>
  <si>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</si>
  <si>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</si>
  <si>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</si>
  <si>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</si>
  <si>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</si>
  <si>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</si>
  <si>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</si>
  <si>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</si>
  <si>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</si>
  <si>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</si>
  <si>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</si>
  <si>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</si>
  <si>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</si>
  <si>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</si>
  <si>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</si>
  <si>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</si>
  <si>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</si>
  <si>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</si>
  <si>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</si>
  <si>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</si>
  <si>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</si>
  <si>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</si>
  <si>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</si>
  <si>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</si>
  <si>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</si>
  <si>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</si>
  <si>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</si>
  <si>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</si>
  <si>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</si>
  <si>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</si>
  <si>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</si>
  <si>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</si>
  <si>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</si>
  <si>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</si>
  <si>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</si>
  <si>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</si>
  <si>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</si>
  <si>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</si>
  <si>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</si>
  <si>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</si>
  <si>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</si>
  <si>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</si>
  <si>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</si>
  <si>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</si>
  <si>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</si>
  <si>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</si>
  <si>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</si>
  <si>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</si>
  <si>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</si>
  <si>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</si>
  <si>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</si>
  <si>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</si>
  <si>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</si>
  <si>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</si>
  <si>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</si>
  <si>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</si>
  <si>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</si>
  <si>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</si>
  <si>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</si>
  <si>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</si>
  <si>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</si>
  <si>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</si>
  <si>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</si>
  <si>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</si>
  <si>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</si>
  <si>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</si>
  <si>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</si>
  <si>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</si>
  <si>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</si>
  <si>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</si>
  <si>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</si>
  <si>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</si>
  <si>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</si>
  <si>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</si>
  <si>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</si>
  <si>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</si>
  <si>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</si>
  <si>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</si>
  <si>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</si>
  <si>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</si>
  <si>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</si>
  <si>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</si>
  <si>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</si>
  <si>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</si>
  <si>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</si>
  <si>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</si>
  <si>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</si>
  <si>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</si>
  <si>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</si>
  <si>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</si>
  <si>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</si>
  <si>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</si>
  <si>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</si>
  <si>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</si>
  <si>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</si>
  <si>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</si>
  <si>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</si>
  <si>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</si>
  <si>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</si>
  <si>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</si>
  <si>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</si>
  <si>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</si>
  <si>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SUBDIRECCIÓN DE INFRAESTRUCTURA Y PATRIMONIO CULTURAL</t>
  </si>
  <si>
    <r>
      <rPr>
        <b/>
        <sz val="9"/>
        <color rgb="FF000000"/>
        <rFont val="Arial Narrow"/>
        <family val="2"/>
      </rPr>
      <t>LEY 1712 DE 2014 LEY DE TRANSPARENCIA Y DERECHO DE ACCESO A LA INFORMACIÓN.</t>
    </r>
    <r>
      <rPr>
        <sz val="9"/>
        <color rgb="FF000000"/>
        <rFont val="Arial Narrow"/>
        <family val="2"/>
      </rPr>
      <t xml:space="preserve"> ARTÍCULO 6 DEFINICIONES LITERAL B.</t>
    </r>
  </si>
  <si>
    <r>
      <rPr>
        <b/>
        <sz val="9"/>
        <color rgb="FF000000"/>
        <rFont val="Arial Narrow"/>
        <family val="2"/>
        <charset val="1"/>
      </rPr>
      <t>CONSTITUCIÓN POLÍTICA DE COLOMBIA
ARTÍCULO 15</t>
    </r>
    <r>
      <rPr>
        <sz val="9"/>
        <color rgb="FF000000"/>
        <rFont val="Arial Narrow"/>
        <family val="2"/>
        <charset val="1"/>
      </rPr>
      <t xml:space="preserve">.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t>
    </r>
    <r>
      <rPr>
        <sz val="9"/>
        <color rgb="FF000000"/>
        <rFont val="Arial Narrow"/>
        <family val="2"/>
      </rPr>
      <t xml:space="preserve">
</t>
    </r>
    <r>
      <rPr>
        <b/>
        <sz val="9"/>
        <color rgb="FF000000"/>
        <rFont val="Arial Narrow"/>
        <family val="2"/>
      </rPr>
      <t>ARTÍCULO 74:</t>
    </r>
    <r>
      <rPr>
        <sz val="9"/>
        <color rgb="FF000000"/>
        <rFont val="Arial Narrow"/>
        <family val="2"/>
      </rPr>
      <t xml:space="preserve"> TODAS LAS PERSONAS TIENEN DERECHO A ACCEDER A LOS DOCUMENTOS PÚBLICOS SALVO LOS CASOS QUE ESTABLEZCA LA LEY. EL SECRETO PROFESIONAL ES INVIOLABLE.
</t>
    </r>
    <r>
      <rPr>
        <sz val="9"/>
        <color rgb="FF000000"/>
        <rFont val="Arial Narrow"/>
        <family val="2"/>
        <charset val="1"/>
      </rPr>
      <t xml:space="preserve">
</t>
    </r>
  </si>
  <si>
    <r>
      <rPr>
        <sz val="9"/>
        <color rgb="FF000000"/>
        <rFont val="Arial Narrow"/>
        <family val="2"/>
      </rPr>
      <t xml:space="preserve">LEY 1712 DE 2014 </t>
    </r>
    <r>
      <rPr>
        <b/>
        <sz val="9"/>
        <color rgb="FF000000"/>
        <rFont val="Arial Narrow"/>
        <family val="2"/>
      </rPr>
      <t>LEY DE TRANSPARENCIA Y DERECHO DE ACCESO A LA INFORMACIÓN</t>
    </r>
    <r>
      <rPr>
        <sz val="9"/>
        <color rgb="FF000000"/>
        <rFont val="Arial Narrow"/>
        <family val="2"/>
      </rPr>
      <t xml:space="preserve">. ARTÍCULO 6 </t>
    </r>
    <r>
      <rPr>
        <b/>
        <sz val="9"/>
        <color rgb="FF000000"/>
        <rFont val="Arial Narrow"/>
        <family val="2"/>
      </rPr>
      <t>DEFINICIONES</t>
    </r>
    <r>
      <rPr>
        <sz val="9"/>
        <color rgb="FF000000"/>
        <rFont val="Arial Narrow"/>
        <family val="2"/>
      </rPr>
      <t xml:space="preserve"> LITERALES:
A) </t>
    </r>
    <r>
      <rPr>
        <b/>
        <sz val="9"/>
        <color rgb="FF000000"/>
        <rFont val="Arial Narrow"/>
        <family val="2"/>
      </rPr>
      <t>INFORMACIÓN</t>
    </r>
    <r>
      <rPr>
        <sz val="9"/>
        <color rgb="FF000000"/>
        <rFont val="Arial Narrow"/>
        <family val="2"/>
      </rPr>
      <t xml:space="preserve"> ES UN CONJUNTO ORGANIZADO DE DATOS CONTENIDOS EN CUALQUIER DOCUMENTO QUE LOS SUJETOS OBLIGADOS GENEREN, OBTENGAN, ADQUIERAN, TRANSFORMEN O CONTROLEN.
B) </t>
    </r>
    <r>
      <rPr>
        <b/>
        <sz val="9"/>
        <color rgb="FF000000"/>
        <rFont val="Arial Narrow"/>
        <family val="2"/>
      </rPr>
      <t>I</t>
    </r>
    <r>
      <rPr>
        <b/>
        <u/>
        <sz val="9"/>
        <color rgb="FF000000"/>
        <rFont val="Arial Narrow"/>
        <family val="2"/>
      </rPr>
      <t>NFORMACIÓN PÚBLICA</t>
    </r>
    <r>
      <rPr>
        <sz val="9"/>
        <color rgb="FF000000"/>
        <rFont val="Arial Narrow"/>
        <family val="2"/>
      </rPr>
      <t xml:space="preserve"> ES TODA INFORMACIÓN QUE UN SUJETO OBLIGADO GENERE, OBTENGA, ADQUIERA, O CONTROLE EN SU CALIDAD DE TAL.
</t>
    </r>
    <r>
      <rPr>
        <sz val="9"/>
        <color rgb="FF000000"/>
        <rFont val="Arial Narrow"/>
        <family val="2"/>
        <charset val="1"/>
      </rPr>
      <t xml:space="preserve">DECRETO NACIONAL 1377 DE 2013 QUE REGLAMENTA PARCIALMENTE LA LEY ESTATUTARIA 1581 DE 2012 ARTÍCULO 3 DEFINE EN EL NUMERAL 2 </t>
    </r>
    <r>
      <rPr>
        <b/>
        <sz val="9"/>
        <color rgb="FF000000"/>
        <rFont val="Arial Narrow"/>
        <family val="2"/>
        <charset val="1"/>
      </rPr>
      <t>DATO PÚBLICO</t>
    </r>
    <r>
      <rPr>
        <sz val="9"/>
        <color rgb="FF000000"/>
        <rFont val="Arial Narrow"/>
        <family val="2"/>
        <charset val="1"/>
      </rPr>
      <t xml:space="preserve">: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</si>
  <si>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t>
    </r>
    <r>
      <rPr>
        <b/>
        <sz val="9"/>
        <color rgb="FF000000"/>
        <rFont val="Arial Narrow"/>
        <family val="2"/>
      </rPr>
      <t>INFORMACIÓN EXCEPTUADA POR DAÑO DE DERECHOS A PERSONAS NATURALES O JURÍDICAS</t>
    </r>
    <r>
      <rPr>
        <sz val="9"/>
        <color rgb="FF000000"/>
        <rFont val="Arial Narrow"/>
        <family val="2"/>
      </rPr>
      <t xml:space="preserve">. ES TODA AQUELLA </t>
    </r>
    <r>
      <rPr>
        <b/>
        <sz val="9"/>
        <color rgb="FF000000"/>
        <rFont val="Arial Narrow"/>
        <family val="2"/>
      </rPr>
      <t>INFORMACIÓN PÚBLICA CLASIFICADA</t>
    </r>
    <r>
      <rPr>
        <sz val="9"/>
        <color rgb="FF000000"/>
        <rFont val="Arial Narrow"/>
        <family val="2"/>
      </rPr>
      <t xml:space="preserve">, CUYO ACCESO PODRÁ SER RECHAZADO O DENEGADO DE MANERA MOTIVA Y POR ESCRITO, SIEMPRE QUE EL ACCESO PUDIERA CAUSAR UN DAÑO A LOS SIGUIENTES DERECHOS:
</t>
    </r>
    <r>
      <rPr>
        <sz val="9"/>
        <color rgb="FF000000"/>
        <rFont val="Arial Narrow"/>
        <family val="2"/>
        <charset val="1"/>
      </rPr>
      <t xml:space="preserve">LITERAL A CORREGIDO POR EL ARTÍCULO 1 DECRETO NACIONAL 2199 DE 2015 </t>
    </r>
    <r>
      <rPr>
        <b/>
        <sz val="9"/>
        <color rgb="FF000000"/>
        <rFont val="Arial Narrow"/>
        <family val="2"/>
        <charset val="1"/>
      </rPr>
      <t>"EL DERECHO DE TODA PERSONA A LA INTIMIDAD</t>
    </r>
    <r>
      <rPr>
        <sz val="9"/>
        <color rgb="FF000000"/>
        <rFont val="Arial Narrow"/>
        <family val="2"/>
        <charset val="1"/>
      </rPr>
      <t xml:space="preserve">, BAJO LAS LIMITACIONES PROPIAS QUE IMPONE LA CONDICIÓN DE SERVIDOR PUBLICO, EN CONCORDANCIA CON LO ESTIPULADO POR EL ARTÍCULO 24 DE LA LEY 1437 DE 2011."  
</t>
    </r>
  </si>
  <si>
    <r>
      <rPr>
        <b/>
        <sz val="9"/>
        <color rgb="FF000000"/>
        <rFont val="Arial Narrow"/>
        <family val="2"/>
        <charset val="1"/>
      </rPr>
      <t xml:space="preserve">LEY 1712 DE 2014 </t>
    </r>
    <r>
      <rPr>
        <sz val="9"/>
        <color rgb="FF000000"/>
        <rFont val="Arial Narrow"/>
        <family val="2"/>
        <charset val="1"/>
      </rPr>
      <t xml:space="preserve"> ARTÍCULO 6 DEFINICIONES LITERAL C) </t>
    </r>
    <r>
      <rPr>
        <b/>
        <sz val="9"/>
        <color rgb="FF000000"/>
        <rFont val="Arial Narrow"/>
        <family val="2"/>
        <charset val="1"/>
      </rPr>
      <t>INFORMACIÓN PÚBLICA CLASIFICADA.</t>
    </r>
    <r>
      <rPr>
        <sz val="9"/>
        <color rgb="FF000000"/>
        <rFont val="Arial Narrow"/>
        <family val="2"/>
        <charset val="1"/>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9"/>
        <color rgb="FF000000"/>
        <rFont val="Arial Narrow"/>
        <family val="2"/>
        <charset val="1"/>
      </rPr>
      <t xml:space="preserve">ARTÍCULO 24 LEY 1437 DE 2011 CPACA </t>
    </r>
    <r>
      <rPr>
        <sz val="9"/>
        <color rgb="FF000000"/>
        <rFont val="Arial Narrow"/>
        <family val="2"/>
        <charset val="1"/>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b/>
        <sz val="9"/>
        <color rgb="FF000000"/>
        <rFont val="Arial Narrow"/>
        <family val="2"/>
        <charset val="1"/>
      </rPr>
      <t>3. INVOLUCREN DERECHOS A LA PRIVACIDAD E INTIMIDAD DE LAS PERSONAS, HOJAS DE VIDA, HISTORIA LABORAL, EXPEDIENTE PENSIONAL HISTORIA CLÍNICA</t>
    </r>
    <r>
      <rPr>
        <sz val="9"/>
        <color rgb="FF000000"/>
        <rFont val="Arial Narrow"/>
        <family val="2"/>
        <charset val="1"/>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</si>
  <si>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PAÍSES</t>
    </r>
    <r>
      <rPr>
        <sz val="9"/>
        <color rgb="FF000000"/>
        <rFont val="Arial Narrow"/>
        <family val="2"/>
      </rPr>
      <t xml:space="preserve"> 
ARTÍCULO 4 NUMERAL 3: </t>
    </r>
    <r>
      <rPr>
        <b/>
        <sz val="9"/>
        <color rgb="FF000000"/>
        <rFont val="Arial Narrow"/>
        <family val="2"/>
      </rPr>
      <t>PRINCIPIO DE CIRCULACIÓN RESTRINGIDA</t>
    </r>
    <r>
      <rPr>
        <sz val="9"/>
        <color rgb="FF000000"/>
        <rFont val="Arial Narrow"/>
        <family val="2"/>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9"/>
        <color rgb="FF000000"/>
        <rFont val="Arial Narrow"/>
        <family val="2"/>
        <charset val="1"/>
      </rPr>
      <t xml:space="preserve">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sz val="9"/>
        <color rgb="FF000000"/>
        <rFont val="Arial Narrow"/>
        <family val="2"/>
        <charset val="1"/>
      </rPr>
      <t xml:space="preserve">
LEY ESTATUTARIA 1581 DE 2012, ARTÍCULO 4: </t>
    </r>
    <r>
      <rPr>
        <b/>
        <sz val="9"/>
        <color rgb="FF000000"/>
        <rFont val="Arial Narrow"/>
        <family val="2"/>
        <charset val="1"/>
      </rPr>
      <t>PRINCIPIO DE ACCESO Y CIRCULACIÓN RESTRINGIDA:</t>
    </r>
    <r>
      <rPr>
        <sz val="9"/>
        <color rgb="FF000000"/>
        <rFont val="Arial Narrow"/>
        <family val="2"/>
        <charset val="1"/>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sz val="9"/>
        <color rgb="FF000000"/>
        <rFont val="Arial Narrow"/>
        <family val="2"/>
      </rPr>
      <t xml:space="preserve">
DECRETO NACIONAL 1377 DE 2013 QUE REGLAMENTA PARCIALMENTE LA LEY ESTATUTARIA 1581 DE 2012 ARTÍCULO 3 DEFINE EN EL NUMERAL 3. </t>
    </r>
    <r>
      <rPr>
        <b/>
        <sz val="9"/>
        <color rgb="FF000000"/>
        <rFont val="Arial Narrow"/>
        <family val="2"/>
      </rPr>
      <t>DATO SENSIBLE.</t>
    </r>
    <r>
      <rPr>
        <sz val="9"/>
        <color rgb="FF000000"/>
        <rFont val="Arial Narrow"/>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</si>
  <si>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INFORMACIÓN EXCEPTUADA POR DAÑO DE DERECHOS A PERSONAS NATURALES O JURÍDICAS, </t>
    </r>
    <r>
      <rPr>
        <sz val="9"/>
        <color rgb="FF000000"/>
        <rFont val="Arial Narrow"/>
        <family val="2"/>
        <charset val="1"/>
      </rPr>
      <t>LITERAL B "EL DERECHO DE TODA PERSONA A LA VIDA, LA SALUD O LA SEGURIDAD."</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</si>
  <si>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t>
    </r>
    <r>
      <rPr>
        <sz val="9"/>
        <color rgb="FF000000"/>
        <rFont val="Arial Narrow"/>
        <family val="2"/>
      </rPr>
      <t xml:space="preserve">S. ARTÍCULO 4 NUMERAL 3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</si>
  <si>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</si>
  <si>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r>
      <rPr>
        <sz val="9"/>
        <color rgb="FF000000"/>
        <rFont val="Arial Narrow"/>
        <family val="2"/>
      </rPr>
      <t xml:space="preserve"> ARTÍCULO 24 LEY 1437 DE 2011 CPACA - SUSTITUIDO POR EL ARTÍCULO 1 DE LA LEY 1755 DE 2015 
</t>
    </r>
    <r>
      <rPr>
        <b/>
        <sz val="9"/>
        <color rgb="FF000000"/>
        <rFont val="Arial Narrow"/>
        <family val="2"/>
      </rPr>
      <t xml:space="preserve">ARTÍCULO 24 LEY 1437 DE 2011 CPACA </t>
    </r>
    <r>
      <rPr>
        <sz val="9"/>
        <color rgb="FF000000"/>
        <rFont val="Arial Narrow"/>
        <family val="2"/>
      </rPr>
      <t xml:space="preserve">- SUSTITUIDO POR EL ARTÍCULO 1 DE LA LEY 1755 DE 2015 - DERECHO PETICIÓN ANTE AUTORIDADES – REGLAS ESPECIALES INFORMACIÓN Y DOCUMENTOS RESERVADOS – 6. PROTEGIDOS POR SECRETO COMERCIAL O INDUSTRIAL, </t>
    </r>
  </si>
  <si>
    <r>
      <rPr>
        <b/>
        <sz val="9"/>
        <color rgb="FF000000"/>
        <rFont val="Arial Narrow"/>
        <family val="2"/>
      </rPr>
      <t>LEY 1474 DE 2011 NORMAS ORIENTADAS A FORTALECER LOS MECANISMOS DE PREVENCIÓN, INVESTIGACIÓN Y SANCIÓN DE ACTOS DE CORRUPCIÓN Y LA EFECTIVIDAD DEL CONTROL DE LA GESTIÓN PÚBLICA</t>
    </r>
    <r>
      <rPr>
        <sz val="9"/>
        <color rgb="FF000000"/>
        <rFont val="Arial Narrow"/>
        <family val="2"/>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</si>
  <si>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LEY 1712   DE 2014  ARTÍCULO 19 LITERAL A "LA DEFENSA Y SEGURIDAD NACIONAL."</t>
  </si>
  <si>
    <r>
      <rPr>
        <sz val="9"/>
        <color rgb="FF000000"/>
        <rFont val="Arial Narrow"/>
        <family val="2"/>
      </rPr>
      <t xml:space="preserve">LEY 1712 DE 2014 ARTÍCULO 6 LITERAL D. </t>
    </r>
    <r>
      <rPr>
        <b/>
        <sz val="9"/>
        <color rgb="FF000000"/>
        <rFont val="Arial Narrow"/>
        <family val="2"/>
      </rPr>
      <t xml:space="preserve">INFORMACIÓN PÚBLICA RESERVADA. </t>
    </r>
    <r>
      <rPr>
        <sz val="9"/>
        <color rgb="FF000000"/>
        <rFont val="Arial Narrow"/>
        <family val="2"/>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b/>
        <sz val="9"/>
        <color rgb="FF000000"/>
        <rFont val="Arial Narrow"/>
        <family val="2"/>
      </rPr>
      <t xml:space="preserve">
ARTÍCULO 24 LEY 1437 DE 2011 CPACA </t>
    </r>
    <r>
      <rPr>
        <sz val="9"/>
        <color rgb="FF000000"/>
        <rFont val="Arial Narrow"/>
        <family val="2"/>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</si>
  <si>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</si>
  <si>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LEY 1712   DE 2014, ARTÍCULO 19 LITERAL B "LA SEGURIDAD PÚBLICA."</t>
  </si>
  <si>
    <t xml:space="preserve">LEY 1712 DE 2014 ARTÍCULO 19  </t>
  </si>
  <si>
    <t>LEY 1712   DE 2014 ARTÍCULO 19 LITERAL C "LAS RELACIONES INTERNACIONALES."</t>
  </si>
  <si>
    <r>
      <rPr>
        <b/>
        <sz val="9"/>
        <color rgb="FF000000"/>
        <rFont val="Arial Narrow"/>
        <family val="2"/>
      </rPr>
      <t xml:space="preserve">ARTÍCULO 24 LEY 1437 DE 2011 CPACA </t>
    </r>
    <r>
      <rPr>
        <sz val="9"/>
        <color rgb="FF000000"/>
        <rFont val="Arial Narrow"/>
        <family val="2"/>
      </rPr>
      <t xml:space="preserve">- SUSTITUIDO POR EL ARTÍCULO 1 DE LA LEY 1755 DE 2015 </t>
    </r>
    <r>
      <rPr>
        <sz val="9"/>
        <color rgb="FF000000"/>
        <rFont val="Arial Narrow"/>
        <family val="2"/>
        <charset val="1"/>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</si>
  <si>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</si>
  <si>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b/>
        <sz val="9"/>
        <color rgb="FF000000"/>
        <rFont val="Arial Narrow"/>
        <family val="2"/>
        <charset val="1"/>
      </rPr>
      <t>LEY 1952 DE 2019 CÓDIGO GENERAL DISCIPLINARIO,</t>
    </r>
    <r>
      <rPr>
        <sz val="9"/>
        <color rgb="FF000000"/>
        <rFont val="Arial Narrow"/>
        <family val="2"/>
        <charset val="1"/>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</si>
  <si>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</si>
  <si>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</si>
  <si>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b/>
        <sz val="9"/>
        <color rgb="FF000000"/>
        <rFont val="Arial Narrow"/>
        <family val="2"/>
        <charset val="1"/>
      </rPr>
      <t>CONSTITUCIÓN POLÍTICA DE COLOMBIA ARTÍCULO 29.</t>
    </r>
    <r>
      <rPr>
        <sz val="9"/>
        <color rgb="FF000000"/>
        <rFont val="Arial Narrow"/>
        <family val="2"/>
        <charset val="1"/>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</si>
  <si>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sz val="9"/>
        <color rgb="FF000000"/>
        <rFont val="Arial Narrow"/>
        <family val="2"/>
        <charset val="1"/>
      </rPr>
      <t xml:space="preserve">LEY 1712 DE 2014 ARTÍCULO 19   
</t>
    </r>
    <r>
      <rPr>
        <sz val="9"/>
        <color rgb="FF000000"/>
        <rFont val="Arial Narrow"/>
        <family val="2"/>
      </rPr>
      <t>LEY 1564  DE 2012 CÓDIGO GENERAL DEL PROCESO</t>
    </r>
  </si>
  <si>
    <t>LEY 1712   DE 2014, ARTÍCULO 19 LITERAL F "LA ADMINISTRACIÓN EFECTIVA DE LA JUSTICIA."</t>
  </si>
  <si>
    <r>
      <rPr>
        <sz val="9"/>
        <color rgb="FF000000"/>
        <rFont val="Arial Narrow"/>
        <family val="2"/>
        <charset val="1"/>
      </rPr>
      <t xml:space="preserve">LEY 1712   </t>
    </r>
    <r>
      <rPr>
        <sz val="9"/>
        <color rgb="FFC9211E"/>
        <rFont val="Arial Narrow"/>
        <family val="2"/>
        <charset val="1"/>
      </rPr>
      <t>DE 2014</t>
    </r>
    <r>
      <rPr>
        <sz val="9"/>
        <color rgb="FF000000"/>
        <rFont val="Arial Narrow"/>
        <family val="2"/>
        <charset val="1"/>
      </rPr>
      <t xml:space="preserve"> ARTÍCULO 19 LITERAL G "LOS DERECHOS DE LA INFANCIA Y LA ADOLESCENCIA."</t>
    </r>
  </si>
  <si>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</si>
  <si>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sz val="9"/>
        <color rgb="FF000000"/>
        <rFont val="Arial Narrow"/>
        <family val="2"/>
        <charset val="1"/>
      </rPr>
      <t xml:space="preserve">LEY 1712   </t>
    </r>
    <r>
      <rPr>
        <sz val="9"/>
        <color rgb="FFC9211E"/>
        <rFont val="Arial Narrow"/>
        <family val="2"/>
        <charset val="1"/>
      </rPr>
      <t xml:space="preserve">DE 2014 </t>
    </r>
    <r>
      <rPr>
        <sz val="9"/>
        <color rgb="FF000000"/>
        <rFont val="Arial Narrow"/>
        <family val="2"/>
        <charset val="1"/>
      </rPr>
      <t>ARTÍCULO 19 LITERAL H "LA ESTABILIDAD MACROECONÓMICA Y FINANCIERA DEL PAÍS."</t>
    </r>
  </si>
  <si>
    <t>LEY 1712   DE 2014  ARTÍCULO 19 LITERAL I "LA SALUD PÚBLICA."</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</si>
  <si>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</si>
  <si>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</si>
  <si>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DIRECCIÓN DE GESTIÓN CORPORATIVA Y RELACIÓN CON EL CIUDADANO</t>
  </si>
  <si>
    <t>DIRECCIÓN DE FOMENTO</t>
  </si>
  <si>
    <t>DIRECCIÓN DE ARTE, CULTURA Y PATRIMONIO</t>
  </si>
  <si>
    <t>DIRECCIÓN  DE LECTURA Y BIBLIOTECAS</t>
  </si>
  <si>
    <t>DIRECCIÓN DE OBSERVATIORIO Y GESTIÓN DEL CONOCIMIENTO CULTURAL</t>
  </si>
  <si>
    <t>FINANCIERA</t>
  </si>
  <si>
    <t>TALENTO HUMANO</t>
  </si>
  <si>
    <t>CONTRATOS</t>
  </si>
  <si>
    <t>DIRECCIÓN DE ASUNTOS LOCALES Y PARTICIPACIÓN</t>
  </si>
  <si>
    <t>SERVICIOS ADMINISTRTAIVOS</t>
  </si>
  <si>
    <t>DIRECCIÓN DE TRANSFORMACIONES CULTURALES</t>
  </si>
  <si>
    <t>DIRECCIÓN DE REDES A ACCIÓN COLECTIVA</t>
  </si>
  <si>
    <t>DESPACHO</t>
  </si>
  <si>
    <t>DIRECCIÓN DE ECONOMIA ESTUDIOS Y POLÍTICA</t>
  </si>
  <si>
    <t>DIRECCIÓN DE PERSONAS JURÍDICAS</t>
  </si>
  <si>
    <t>OFICINA DE TECNOLOGÍAS DE LA INFORMACIÓN</t>
  </si>
  <si>
    <t>OFICINA JURÍDICA</t>
  </si>
  <si>
    <t>SUBSECRETARÍA DE GOBERNANZA</t>
  </si>
  <si>
    <t xml:space="preserve">SUBSECRETARÍA DISTRITAL DE CULTURA CIUDADANA Y GESTIÓN DEL CONOCIMIENTO </t>
  </si>
  <si>
    <t>Í</t>
  </si>
  <si>
    <t>Ó</t>
  </si>
  <si>
    <r>
      <t xml:space="preserve">ARTÍCULO 24 LEY 1437 DE 2011 CPACA </t>
    </r>
    <r>
      <rPr>
        <sz val="9"/>
        <color rgb="FF000000"/>
        <rFont val="Arial Narrow"/>
        <family val="2"/>
      </rPr>
      <t>- SUSTITUIDO POR EL ARTÍCULO 1 DE LA LEY 1755 DE 2015 NUMERAL</t>
    </r>
    <r>
      <rPr>
        <sz val="9"/>
        <color rgb="FF000000"/>
        <rFont val="Arial Narrow"/>
        <family val="2"/>
        <charset val="1"/>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</si>
  <si>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Ú</t>
  </si>
  <si>
    <r>
      <t xml:space="preserve">LEY 1712 DE 2014 ARTÍCULO 6 LITERAL C) </t>
    </r>
    <r>
      <rPr>
        <b/>
        <sz val="9"/>
        <color rgb="FF000000"/>
        <rFont val="Arial Narrow"/>
        <family val="2"/>
      </rPr>
      <t>INFORMACIÓN PÚBLICA CLASIFICADA</t>
    </r>
    <r>
      <rPr>
        <sz val="9"/>
        <color rgb="FF000000"/>
        <rFont val="Arial Narrow"/>
        <family val="2"/>
      </rPr>
      <t xml:space="preserve">.  ES AQUELLA INFORMACIÓN QUE ESTANDO EN PODER O CUSTODIA DE UN SUJETO OBLIGADO EN SU CALIDAD DE TAL, </t>
    </r>
    <r>
      <rPr>
        <b/>
        <sz val="9"/>
        <color rgb="FF000000"/>
        <rFont val="Arial Narrow"/>
        <family val="2"/>
      </rPr>
      <t>PERTENECE AL ÁMBITO PROPIO, PARTICULAR Y PRIVADO O SEMIPRIVADO DE UNA PERSONA NATURAL O JURÍDICA</t>
    </r>
    <r>
      <rPr>
        <sz val="9"/>
        <color rgb="FF000000"/>
        <rFont val="Arial Narrow"/>
        <family val="2"/>
      </rPr>
      <t xml:space="preserve"> POR LO QUE SU ACCESO PODRÁ SER NEGADO O EXCEPTUADO, SIEMPRE QUE SE TRATE DE LAS CIRCUNSTANCIAS LEGÍTIMAS Y NECESARIAS Y LOS DERECHOS PARTICULARES O PRIVADOS CONSAGRADOS EN EL ARTÍCULO 18 DE ESTA LEY. 
 </t>
    </r>
    <r>
      <rPr>
        <b/>
        <sz val="9"/>
        <color rgb="FF000000"/>
        <rFont val="Arial Narrow"/>
        <family val="2"/>
      </rPr>
      <t xml:space="preserve">ARTÍCULO 24 LEY 1437 DE 2011 CPACA </t>
    </r>
    <r>
      <rPr>
        <sz val="9"/>
        <color rgb="FF000000"/>
        <rFont val="Arial Narrow"/>
        <family val="2"/>
      </rPr>
      <t>- SUSTITUIDO POR EL ARTÍCULO 1 DE LA LEY 1755 DE 2015 - DERECHO PETICIÓN ANTE AUTORIDADES – REGLAS ESPECIALES INFORMACIÓN Y DOCUMENTOS RESERVADOS –</t>
    </r>
    <r>
      <rPr>
        <b/>
        <sz val="9"/>
        <color rgb="FF000000"/>
        <rFont val="Arial Narrow"/>
        <family val="2"/>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</si>
  <si>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t>Á</t>
  </si>
  <si>
    <r>
      <t xml:space="preserve">CONSTITUCIÓN POLÍTICA DE COLOMBIA ARTICULO 228. </t>
    </r>
    <r>
      <rPr>
        <sz val="9"/>
        <color rgb="FF000000"/>
        <rFont val="Arial Narrow"/>
        <family val="2"/>
        <charset val="1"/>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</si>
  <si>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É</t>
  </si>
  <si>
    <t xml:space="preserve">GESTIÓN DEL DIRECCIONAMIENTO ESTRATÉGICO </t>
  </si>
  <si>
    <t xml:space="preserve">GESTIÓN DEL CONOCIMIENTO </t>
  </si>
  <si>
    <t xml:space="preserve">GESTIÓN DE LA MEJORA CONTINUA </t>
  </si>
  <si>
    <t xml:space="preserve">GESTIÓN DE LA COMUNICACIÓN ESTRATÉGICA  </t>
  </si>
  <si>
    <t xml:space="preserve">GESTIÓN DEL RELACIONAMIENTO CON LA CIUDADANÍA 
</t>
  </si>
  <si>
    <t xml:space="preserve">GESTIÓN DE LA FORMULACIÓN Y SEGUIMIENTO DE POLÍTICA PÚBLICA </t>
  </si>
  <si>
    <t xml:space="preserve">GESTIÓN DE LA PROMOCIÓN DE AGENTES Y PRÁCTICAS CULTURALES Y RECREODEPORTIVAS  </t>
  </si>
  <si>
    <t xml:space="preserve">GESTIÓN DE LA CULTURA CIUDADANA  </t>
  </si>
  <si>
    <t xml:space="preserve">GESTIÓN DE INVESTIGACIONES, OBSERVACIONES Y ANALÍTICA DE LA CULTURA, LA RECREACIÓN Y EL DEPORTE </t>
  </si>
  <si>
    <t xml:space="preserve">GESTIÓN DE LA PARTICIPACIÓN CIUDADANA </t>
  </si>
  <si>
    <t xml:space="preserve">GESTIÓN DE LA APROPIACIÓN DE LA INFRAESTRUCTURA Y PATRIMONIO CULTURAL  
</t>
  </si>
  <si>
    <t xml:space="preserve">GESTIÓN DE TECNOLOGÍAS DE LA INFORMACIÓN Y LAS COMUNICACIONES  </t>
  </si>
  <si>
    <t xml:space="preserve">GESTIÓN FINANCIERA  </t>
  </si>
  <si>
    <t xml:space="preserve">GESTIÓN DE TALENTO HUMANO </t>
  </si>
  <si>
    <t>GESTIÓN  JURÍDICA</t>
  </si>
  <si>
    <t xml:space="preserve">GESTIÓN ADMINISTRATIVA </t>
  </si>
  <si>
    <t>GESTIÓN CONTRACTUAL</t>
  </si>
  <si>
    <t xml:space="preserve">GESTIÓN DE LA EVALUACIÓN INDEPENDIENTE </t>
  </si>
  <si>
    <t>GESTIÓN DEL CONTROL DISCIPLINARIO INTERNO</t>
  </si>
  <si>
    <t>INFORMES A CIUDADANOS Y OTRAS ENTIDADES</t>
  </si>
  <si>
    <t xml:space="preserve">CONTIENE INFORMES, OFICIOS, RESPUESTAS A SOLICITUDES DE  ENTIDADES  Y CIUDADANOS. </t>
  </si>
  <si>
    <t xml:space="preserve">OFICINA DE CONTROL DISCIPLINARIO INTERNO </t>
  </si>
  <si>
    <t>JEFE DE OFICINA DE CONTROL  DISCIPLINARIO INTERNO, OFICINA DE TECNOLOGIA DE LA INFORMACIÓN.</t>
  </si>
  <si>
    <t>AMBOS</t>
  </si>
  <si>
    <t>ESPAÑOL</t>
  </si>
  <si>
    <t>INFORMACIÓN DISPONIBLE</t>
  </si>
  <si>
    <t>ARCHIVO DE GESTION DE LA OFICINA DE CONTROL DISCIPLINARIO INTERNO - ARCHIVO CENTRAL</t>
  </si>
  <si>
    <t xml:space="preserve">DATACENTER SECRETARIA DISTRITAL DE CULTURA, RECREACIÓN Y DEPORTE. </t>
  </si>
  <si>
    <t>DOCX, PDF, JPG</t>
  </si>
  <si>
    <t>X</t>
  </si>
  <si>
    <t xml:space="preserve">INFORMES </t>
  </si>
  <si>
    <t>INFORMES A OTROS ORGANISMOS, INFORMES A ENTES DE CONTROL E INFORMES DE EVALUACIÓN Y SEGUIMIENTO</t>
  </si>
  <si>
    <t>SI</t>
  </si>
  <si>
    <t>NO</t>
  </si>
  <si>
    <t>LEY 1712 DE 2014</t>
  </si>
  <si>
    <t>ALEJANDRA ROZO RUIZ</t>
  </si>
  <si>
    <t xml:space="preserve">CLARA MILENA BAHAMON </t>
  </si>
  <si>
    <t xml:space="preserve">BASE DE DATOS DE OFICINA CONTROL DISCIPLINARIO INTERNO </t>
  </si>
  <si>
    <t>NOMBRES, CEDULA, CARGO, MOTIVO, HECHOS</t>
  </si>
  <si>
    <t xml:space="preserve">JEFE DE OFICINA DE CONTROL INTERNO DISCIPLINARIO </t>
  </si>
  <si>
    <t>DIGITAL</t>
  </si>
  <si>
    <t>N.A</t>
  </si>
  <si>
    <t>.XLSX</t>
  </si>
  <si>
    <t>XLSX</t>
  </si>
  <si>
    <t>TRASLADOS</t>
  </si>
  <si>
    <t>OFICIOS, MEMORANDOS, INFORMES, DANDO TRASLADO A LAS DEPENDENCIAS Y ENTIDADES CORRESPONDIENTES.</t>
  </si>
  <si>
    <t>JEFE DE OFICINA DE CONTROL  DISCIPLINARIO INTERNO , OFICINA DE TECNOLOGIA DE LA INFORMACIÓN.</t>
  </si>
  <si>
    <t xml:space="preserve">ARCHIVO DE GESTION DE LA OFICINA DE CONTROL DISCIPLINARIO INTERNO </t>
  </si>
  <si>
    <t>.DOCX, PDF, JPG</t>
  </si>
  <si>
    <t>TRASLADO POR COMPETENCIA</t>
  </si>
  <si>
    <t>PROCESOS DISCIPLINARIOS, ORDINARIOS Y VERBALES</t>
  </si>
  <si>
    <t xml:space="preserve"> AUTOS, OFICIOS, MEMORANDOS.</t>
  </si>
  <si>
    <t>PROCESOS</t>
  </si>
  <si>
    <t>PROCESOS DISCIPLINARIOS ORDINARIOS Y VERBALES</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</si>
  <si>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</si>
  <si>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</si>
  <si>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GRUPO  INTERNO DE TRABAJO SERVICIOS ADMINISTRATIVOS
OFICINA DE TECNOLOGIAS DE LA INFORMACION
</t>
  </si>
  <si>
    <t>DATACENTER SECRETARIA DE CULTURA RECREACIÓN Y DEPORTE</t>
  </si>
  <si>
    <t>.PDF
.PPT</t>
  </si>
  <si>
    <t>ACTAS</t>
  </si>
  <si>
    <t>ACTAS DE COMITÉ PRIMARIO 
ACTAS DE COMITE DE FOMENTO</t>
  </si>
  <si>
    <t>ANDRÉS LEÓN</t>
  </si>
  <si>
    <t>LILIANA MARCELA PAMPLONA ROMERO</t>
  </si>
  <si>
    <t>PARTICIPANTES PROGRAMAS FOMENTO</t>
  </si>
  <si>
    <t>INFORMACION DE LOS PARTICIPANTES EN LAS CONVOCATORIAS DE LOS PROGRAMAS DE FOMENTO SECTORIAL POR MEDIO DE LA PLATAFORMA SICON, DONDE AGREGAN SUS DATOS PERSONALES, ECONOMICOS, SEXO Y GENERO, GRUPO ETNICO Y CONTACTO</t>
  </si>
  <si>
    <t xml:space="preserve">
OFICINA DE TECNOLOGIAS DE LA INFORMACION</t>
  </si>
  <si>
    <t>INFORMACIÓN PUBLICADA</t>
  </si>
  <si>
    <t>.CVS</t>
  </si>
  <si>
    <t>CONVOCATORIAS DEL PROGRAMA DISTRITAL DE ESTIMULOS</t>
  </si>
  <si>
    <t xml:space="preserve">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</si>
  <si>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.PDF
.XLSX
.PGN
.MP4</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</si>
  <si>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</si>
  <si>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</si>
  <si>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</si>
  <si>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</si>
  <si>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</si>
  <si>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</si>
  <si>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</si>
  <si>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OFICINA DE TECNOLOGIAS DE LA INFORMACION</t>
  </si>
  <si>
    <t>DATACENTER SECRETARIA DE CULTURA RECREACIÓN Y DEPORTE 
SISTEMA DE INFORMACION CONVOCATORIAS</t>
  </si>
  <si>
    <t>OFICINA DE TECNOLOGIAS DE LA INFORMACIO</t>
  </si>
  <si>
    <t>INGENIERO DESARROLLADOR Y ADMINISTRADOR SISTEMA DE CONVOCATORIAS</t>
  </si>
  <si>
    <t>PERSONA QUE DESARROLLA Y ADMINISTRA EL APLICATIVO DEL SISTEMA DE CONVOCATORIAS DE LOS PROGRAMAS DE FOMENTO</t>
  </si>
  <si>
    <t>BASE DE DATOS DE LOCALIDADES</t>
  </si>
  <si>
    <t>INFORMACIÓN DE LOS AGENTES CULTURALES, ORGANIZACIONES Y PROCESOS LOCALES QUE SON NECESARIOS PARA LA GESTION TERRITORIAL Y DINAMIZACIÓN DE LOS PROCESOS CULTURALES LOCALES, INFORMACIÓN DE PERSONAS NATURALES, ORGANIZACIONES, JEFES DE PRENSA DE LOS FONDOS DE DESARROLLO LOCAL, CONSEJOS LOCALES Y MEDIOS DE COMUNICACIÓN.  CONTIENE LOCALIDAD, BARRIO, UNIDAD DE PLANEAMIENTO ZONAL, NOMBRES Y APELLIDOS, DIRECCIÓN, TELEFONO, CELULAR, CAMPO EN EL QUE SE DESEMPEÑA, CORREO ELECTRONICO PERSONAL</t>
  </si>
  <si>
    <t>DIRECCIÓN DE ASUNTOS LOCALES Y PARTICIPACION</t>
  </si>
  <si>
    <t>DRIVE LIDERES DE GESTION TERRITORIAL - DIRECIÓN DE ASUNTOS LOCALES Y PARTICIPACION.</t>
  </si>
  <si>
    <t>ALEXANDRA BUITRAGO</t>
  </si>
  <si>
    <t>HUGO ALEXANDER CORTES</t>
  </si>
  <si>
    <t>BASE DE RECHAZADOS PARA ARTISTAS Y GESTORES ESTABLECIDOS EN EL DECCRETO 561 DE 2020</t>
  </si>
  <si>
    <t>BENEFICIARIOS DEL INCENTIVO PARA ARTISTAS Y GESTORES RECHAZADOS DONDE SE INCLUYE:
NOMBRES Y APELLIDOS, CEDULA, NUMEROS DE CELULAR, TIPO DE DOCUMENTO.</t>
  </si>
  <si>
    <t>DRIVE EQUIPO ADMINISTRATIVO-  DIRECCIÓN DE ASUNTOS LOCALES Y PARTICIPACION Y DATACENTER DE LA SECRETARÍA DISTRITAL DE CULTURA, RECREACIÓN Y DEPORTE</t>
  </si>
  <si>
    <t>POBLACIONALES</t>
  </si>
  <si>
    <t>BASE DE BENEFICIARIOS DE LOS INCENTIVOS ECONOMICOS PARA ARTISTAS Y GESTORES ESTABLECIDOS EN EL DECRETO 561 DE 2020</t>
  </si>
  <si>
    <t>BENEFICIARIOS DE LOS INCENTIVOS ECONOMICOS PARA ARTISTAS Y GESTORES ESTABLECIDOS EN EL DECCRETO 561 DE 2020 EN EL QUE SE INCLUYE INFORMACIÓN DETALLADA SOBRE IDENTIFICACION DE LAS PERSONAS, CARACTERIZACION Y PUNTAJES OBTENIDOS
NOMBRES Y APELLIDOS
CEDULA
NUMEROS DE CELULAR 
VALOR A PAGAR
TIPO DE DOCUMENTO 
CORREO ELECTRONICO 
ESTRATO 
FECHA DE EXPEDICIÓN DE CEDULA 
PUNTAJE DE SISBEN 
NUMERO DE CUENTA 
CIUDAD Y DEPARTAMENTO 
TIPO DE POBLACION</t>
  </si>
  <si>
    <t>MINISTERIO DE CULTURA Y DIRECCIÓN DE ASUNTOS LOCALES Y PARTICIPACION</t>
  </si>
  <si>
    <t>OFICINA DE COMUNICACIONES, DIRECCION DE ASUNTOS LOCALES Y PARTICIPACION, GRUPO INTERNO DE SERVICIOS ADMINISTRATIVOS</t>
  </si>
  <si>
    <t>PAGINA WEB SECRETARIA DISTRITAL DE CULTURA, RECREACIÓN Y DEPORTE - DRIVE EQUIPO ADMINISTRATIVO DIRECCION DE ASUNTOS LOCALES Y PARTICIPACION Y DATACENTER DE LA SECRETARÍA DISTRITAL DE CULTURA, RECREACIÓN Y DEPORTE</t>
  </si>
  <si>
    <t>XLSX-PDF</t>
  </si>
  <si>
    <t>CERTIFICADO DIGITAL</t>
  </si>
  <si>
    <t>TOKEN PARA PAGO A PROVEEDORES BENEFICIARIOS A INCENTIVO ECONOMICOS PARA ARTISTAS Y GESTORES</t>
  </si>
  <si>
    <t>FÍSICO</t>
  </si>
  <si>
    <t>DIRECCION DE ASUNTOS LOCALES Y PARTICIPACION</t>
  </si>
  <si>
    <t>ESTADISTICAS DE LA 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</si>
  <si>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</si>
  <si>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DIRECCIÓN DE LECTURA Y BIBLIOTECAS</t>
  </si>
  <si>
    <t>GRUPO INTERNO DE TRABAJO DE SERVICIOS ADMINISTRATIVOS DE LA SECRETARIA DISTRITAL DE CULTURA, RECREACION Y DEPORTE.
DIRECCIÓN DE LECTURA Y BIBLIOTECAS</t>
  </si>
  <si>
    <t>ARCHIVO CENTRAL DE GRUPO INTERNO DE TRABAJO DE SERVICIOS ADMINISTRATIVOS Y GESTIÓN DOCUMENTAL RED DISTRITAL DE BIBLIOTECAS PÚBLICAS DE BOGOTÁ - BIBLORED</t>
  </si>
  <si>
    <t>DATACENTER SECRETARIA DISTRITAL DE CULTURA, RECREACION Y DEPORTE.
DATACENTER DE LA RED DISTRITAL DE BIBLIOTECAS PÚBLICAS DE BOGOTÁ - BIBLORED</t>
  </si>
  <si>
    <t>PDF
PDF/A
DOCX
XLSX
PPT
ZIP
MP4 / WMP</t>
  </si>
  <si>
    <t>INFORMES</t>
  </si>
  <si>
    <t>INFORMES A OTROS ORGANISMOS, INFORMES A ENTES DE CONTROL Y VIGILANCIA, INFORMES DE GESTIÓN</t>
  </si>
  <si>
    <t>MARCELA RODRIGUEZ ORTIZ</t>
  </si>
  <si>
    <t>RAFAEL EDUARDO TAMAYO FRANCO</t>
  </si>
  <si>
    <t>RED DISTRITAL DE BIBLIOTECAS PÚBLICAS DE BOGOTÁ - BIBLORED</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</si>
  <si>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</si>
  <si>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ARCHIVO CENTRAL DE GRUPO INTERNO DE TRABAJO DE SERVICIOS ADMINISTRATIVOS Y GESTIÓN DOCUMENTAL. RED DISTRITAL DE BIBLIOTECAS PÚBLICAS DE BOGOTÁ - BIBLORED</t>
  </si>
  <si>
    <t>PLANES</t>
  </si>
  <si>
    <t>PLANES DE ACCIÓN DE LA RED DISTRITAL DE BIBLIOTECAS PÚBLICAS, PLANES DE LECTURA, ESCRITURA Y ORALIDAD</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</si>
  <si>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</si>
  <si>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DATACENTER DE LA RED DISTRITAL DE BIBLIOTECAS PÚBLICAS DE BOGOTÁ -  BIBLORED</t>
  </si>
  <si>
    <t>DATACENTER DE LA RED DISTRITAL DE BIBLIOTECAS PÚBLICAS DE BOGOTÁ -  BIBLORED
CLOUD</t>
  </si>
  <si>
    <t>SOFTWARE UTILIZADO POR BIBLORED PARA LA EJECUCION DE LAS ACTIVIDADES. SOFTWARE DE APLICACIÓN, INTERFACES, SOFTWARE DEL SISTEMA Y HERRAMIENTAS DE DESARROLLO</t>
  </si>
  <si>
    <t xml:space="preserve">SQL, MYSQL, POSTGRESSQL, MARIADB
</t>
  </si>
  <si>
    <t xml:space="preserve">PORTALES, INTRANET  Y MICROSITIOS  DE LA RED DISTRITAL DE BIBLIOTECAS PÚBLICAS -BIBLORED Y BIBLIOTECA DIGITAL DE BOGOTÁ </t>
  </si>
  <si>
    <t>JPG, TIF, GIF, EXR, RAF, CR2, DRF, ERF, ODT, EPUB, TXT, PDF, PDF/A, DOCX, XLSX, PPT, OGG, WMA, FLAC, WAV, AVI, ASF, MKV, MKA, MKS</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</si>
  <si>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</si>
  <si>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 xml:space="preserve"> CONTIENE LA INFORMACION DE LAS ACTAS DE LOS COMITÉS ADMINISTRATIVOS, MISIONALES Y DE OPERACIÓN DE LA RED DISTRITAL DE BIBLIOTECAS PÚBLICAS - BIBLORED</t>
  </si>
  <si>
    <t>PDF
PDF/A
DOCX
XLSX
PPT
ZIP</t>
  </si>
  <si>
    <t>ACTAS DE COMITE PRIMARIO, ACTAS DE CONSEJO DISTRITAL DE FOMENTO DE LA LECTURA Y LA ESCRITURA</t>
  </si>
  <si>
    <t>REDES SOCIALES</t>
  </si>
  <si>
    <t xml:space="preserve"> CONTIENE LAS REDES SOCIALES DE LA RED DISTRITAL DE BIBLIOTECA PÚBLICAS DE BOGOTA - BIBLORED, DONDE SE PUBLICA CONTENIDO INSTITUCIONAL Y SE USAN COMO MEDIO DE COMUNICACIÓN CON LA CIUDADANÍA EN DOBLE VÍA. DICHAS REDES SON: FACEBOOK, INSTAGRAM, YOUTUBE, TWITTER, LINKEDIN Y TIKTOK </t>
  </si>
  <si>
    <t>CLOUD</t>
  </si>
  <si>
    <t>JPG, PNG, MP4, MOV, MP3</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</si>
  <si>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</si>
  <si>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</si>
  <si>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</si>
  <si>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</si>
  <si>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</si>
  <si>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JOSE LUIS SANABRIA Y LUISA CEPEDA</t>
  </si>
  <si>
    <t>ANGELA MARIA CANIZALEZ HERRERA</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</si>
  <si>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</si>
  <si>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</si>
  <si>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FORMATOS EN JPG, PNG, PDF, EXCEL, WORD.</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</si>
  <si>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</si>
  <si>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</si>
  <si>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</si>
  <si>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</si>
  <si>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JHON GAITAN, LUISA CEPEDA Y JAVIER CORBA</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</si>
  <si>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</si>
  <si>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</si>
  <si>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</si>
  <si>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LEANDRO ARENAS Y LUISA CEPEDA</t>
  </si>
  <si>
    <t>PORTAL DE LA ENTIDAD QUE ALMACENA INFORMACIÓN CORRESPONDIENTE A LA SECRETARIA DISTRITAL DE CULTURA EN TEMAS COMO INFORMACION INSTITUCIONAL(MISIÓN, VISION, TEMAS DE TRANSPARECIA, NOTICIAS, CONVOCATORIAS ENTRE OTROS</t>
  </si>
  <si>
    <t>HERRAMIENTAS DE DISEÑO</t>
  </si>
  <si>
    <t xml:space="preserve">SE CUENTA CON HERRAMIENTAS QUE PERMITEN DISEÑAR Y EDITAR PIEZAS GRÁFICAS Y AUDIOVISUALES </t>
  </si>
  <si>
    <t xml:space="preserve">DISEÑADORES GRAFICOS Y REALZADORES AUDIOVISUALES </t>
  </si>
  <si>
    <t>FORMATOS EN JPG, PNG, PDF, MOV Y MP4</t>
  </si>
  <si>
    <t>JOSE LUIS SANABRIA, LUISA CEPEDA, JHON GAITAN Y JAVIER CORBA</t>
  </si>
  <si>
    <t>CONTIENE LA INFORMACION DE LAS ACTAS DEL COMITE DEL SISTEMA INTEGRADO DE GESTION Y DEL COMITE INSTITUCIONAL DE COORDINACION DE CONTROL INTERNO DEL CUAL LA OCI EJERCE LA SECRETRIA TÉCNICA</t>
  </si>
  <si>
    <t xml:space="preserve">OFICINA DE TECNOLOGIA DE LA INFORMACIÓN Y GRUPO INTERNO DE TRABAJO DE SERVICIOS ADMINISTRATIVOS </t>
  </si>
  <si>
    <t>ARCHIVO DE GESTIÓN</t>
  </si>
  <si>
    <t>DATACENTER DE LA SECRETARIA DISTRITAL DE CULTURA, RECREACION Y DEPORTE</t>
  </si>
  <si>
    <t>PDF - WORD - EXCEL - POWER POINT</t>
  </si>
  <si>
    <t>ACTAS DEL COMITÉ DEL SISTEMA INTEGRADO DE GESTION  Y ACTAS DEL COMITE INSTITUCIONAL DE COORDINACION DE CONTROL INTERNO</t>
  </si>
  <si>
    <t>WILMA ROCIO BEJARANO GAITAN</t>
  </si>
  <si>
    <t>OMAR URREA ROMERO</t>
  </si>
  <si>
    <t>CONTIENE LOS INFORMES ENVIADOS A ENTES DE CONTROL Y LOS INFORMES DE AUDITORIAS REALIZADAS POR LA OFICINA DE CONTROL INTERNO CON LOS PAPELES DE TRABAJO QUE LAS SOPORTAN.</t>
  </si>
  <si>
    <t>INFORMES A OTROS ORGANISMOS, INFORMES A ENTES DE CONTROL E INFORME DE EVALUACIÓN Y SEGUIMIENTO</t>
  </si>
  <si>
    <t>LIBRO MAYOR (LIMAY)</t>
  </si>
  <si>
    <t xml:space="preserve">APLICATIVO QUE CONSOLIDA LA INFORMACIÓN CONTABLE DE LA SCRD </t>
  </si>
  <si>
    <t>GRUPO INTERNO DE TRABAJO DE GESTIÓN FINANCIERA</t>
  </si>
  <si>
    <t>OFICINA DE  TECNOLOGIA DE LA INFORMACION</t>
  </si>
  <si>
    <t xml:space="preserve">DATA CENTER DE LA SECRETARIA DISTRITAL DE RECREACION Y DEPORTE </t>
  </si>
  <si>
    <t>.CSV</t>
  </si>
  <si>
    <t>CLAUDIA PATRICIA MORALES MORALES
MARÍA ANDREA GÓMEZ RESTREPO</t>
  </si>
  <si>
    <t>MYRIAM BARRIOS GARZÓN</t>
  </si>
  <si>
    <t>INFORMACIÓN FINANCIERA</t>
  </si>
  <si>
    <t>INFORMACION QUE SE ENCUENTRA ALMACENADA EN LOS APLICATIVOS DE LIBRO MAYOR, PAGOS Y PRESUPUESTO. CONTIENE INFORMACIÓN COMO: NOMBRE, CÉDULA, CUENTAS BANCARIAS, DIRECCIÓN, TELÉFONO, CORREO ELETRÓNICO, CUENTAS CONTABLES, CLASIFICACIÓN TRIBUTARÍA.</t>
  </si>
  <si>
    <t>PAGOS</t>
  </si>
  <si>
    <t>APLICATIVO PARA LIQUIDAR Y CAUSAR LOS PAGOS (OPGET) DE LA SECRETARÍA DE CULTURA RECREACIÓN Y DEPORTE</t>
  </si>
  <si>
    <t>CSV - TXT</t>
  </si>
  <si>
    <t>INGRID PAOLA LOZANO ARIAS</t>
  </si>
  <si>
    <t>TERCEROS</t>
  </si>
  <si>
    <t>PERSONAS NATURALES Y/O JURÍDICAS QUE TENGAN O HAYAN TENIDO RELACION CONTRACTUAL CON LA SCRD. LA INFORMACIÓN QUE CONTIENE: NOMBRE, TIPO DE IDENTIFICACIÓN Y  NÚMERO, TELEFONO DE CONTACTO, DIRECCIÓN, CORREO ELECTRÓNICO.</t>
  </si>
  <si>
    <t xml:space="preserve">OFICINA DE  TECNOLOGIA DE LA INFORMACION </t>
  </si>
  <si>
    <t>SERVIDORES SCRD</t>
  </si>
  <si>
    <t>SISTEMA DE INFORMACIÓN
FINANCIERA DE LA SCRD.</t>
  </si>
  <si>
    <t>GUILLERMO ADOLFO ROSAS VALERIANO</t>
  </si>
  <si>
    <t>ARCHIVO EN EXCEL CON DATOS PERSONALES DE CONTRATISTAS DE LA VIGENCIA 2002-2023.</t>
  </si>
  <si>
    <t>ARCHIVO EXCEL QUE CONTIENE INFORMACIÓN SOBRE LOS CONTRATOS SUSCRITOS POR LA SECRETARÍA DE CULTURA, RECREACIÓN Y DEPORTE QUE CONTIENE : 
NOMBRE DEL CONTRATISTA, TIPO Y NÚMERO IDENTIFICACIÓN CON DÍGITO DE VERIFICACIÓN, DOMICILIO, FECHA DE NACIMIENTO, EDAD, SEXO, EXPERIENCIA LABORAL Y PROFESIONAL,  IDENTIFICACIÓN, EN CASO QUE APLIQUE), SUPERVISOR (NOMBRE E IDENTIFICACIÓN)</t>
  </si>
  <si>
    <t>DIRECCIÓN DE GESTIÓN CORPORATIVA -GRUPO INTERNO DE TRABAJO DE CONTRATACIÓN</t>
  </si>
  <si>
    <t>GRUPO INTERNO DE TRABAJO DE CONTRATACIÓN</t>
  </si>
  <si>
    <t>DRIVE-ORFEO</t>
  </si>
  <si>
    <t xml:space="preserve">ANGELA PATRICIA CARRILLO QUINTERO
ANA MARIA GALINDO LARA
</t>
  </si>
  <si>
    <t>MARGARITA MARÌA RUA (E)</t>
  </si>
  <si>
    <t>ARCHIVO EXCEL QUE CONTIENE INFORMACIÓN SOBRE LOS CONTRATOS SUSCRITOS POR LA SECRETARÍA DE CULTURA, RECREACIÓN Y DEPORTE QUE CONTIENE : 
NÚMERO DE CONTRATO, TIPO DE CONTRATO,NÚMERO DE ESDOP, MODALIDAD DE SELECCIÓN, OBJETO DEL CONTRATO, NÚMERO DE PROCESO, ENLACE SECOP, FECHA DE SUSCRIPCIÓN, INICIO Y FINALIZACIÓN DEL CONTRATO, PLAZO, NÚMERO DE CDP Y CRP, VALOR DEL CONTRATO, ORDENADOR DEL GASTO, DEPENDENCIA DEL CONTRATISTA, TIPO DE GASTO (FUNCIONAMIENTO, INVERSIÓN), RUBRO, MODIFICACIONES (ADICIONES, PRÓRROGAS, OTRO SÍ, LIBERACIONES DE SALDO), FECHA DE LIQUIDACIÓN, PÓLIZAS, RUP (EN CASO QUE APLIQUE).</t>
  </si>
  <si>
    <t>CONTRATOS CONVENIOS</t>
  </si>
  <si>
    <t>ORFEO: CONTIENE LOS DOCUMENTOS PREVIOS PARA LA CELEBRACIÓN DE LOS CONTRATOS Y CONVENIOS TRAMITADOS EN DICHO SISTEMA Y LOS DOCUMENTOS SOPORTE DE LA EJECUCIÓN EN CADA UNA DE LAS VIGENCIAS.</t>
  </si>
  <si>
    <t>DIRECCIÓN DE GESTIÓN CORPORATIVA -GRUPO INTERNO DE TRABAJO DE CONTRATACIÓN, ADICIONALMENTE LAS DEPENDENCIAS CREAN EL EXPEDIENTE Y SON RESPONSABLES DEL CARGUE DE DOCUMENTOS GENERADOS DENTRO DE SUS COMPETENCIAS.</t>
  </si>
  <si>
    <t>OFICINA DE TECNOLOGÍAS DE INFORMACIÓN - GRUPO INTERNO DE TRABAJO DE GESTIÓN DE SERVICIOS ADMINISTRATIVOS</t>
  </si>
  <si>
    <t>ARCHIVO CENTRALIZADO</t>
  </si>
  <si>
    <t>DATA CENTER SCRD</t>
  </si>
  <si>
    <t>PDF XLSX JPG TIF</t>
  </si>
  <si>
    <t>CONTRATO O CONVENIO</t>
  </si>
  <si>
    <t>CONVENIO DE ASOCIACIÓN, DE COOPERACIÓN E INTERADMINISTRATIVOS. CONTRATOS DE APOYO, COMPRAVENTA, SUMINISTRO, PRESTACIÓN DE SERVICIO, DE SEGUROS.</t>
  </si>
  <si>
    <t>SISTEMA DE INFORMACIÓN DE CONTRATACIÓN</t>
  </si>
  <si>
    <t>SISTEMA DE INFORMACIÓN QUE CONTIENE LOS MÓDULOS CORRESPONDIENTES A LAS ETAPAS PRECONTRACTUAL,CONTRACTUAL Y POSTCONTRACTUAL DE LOS CONTRATOS SUSCRITOS POR LA SECRETARÍA</t>
  </si>
  <si>
    <t>OFICINA DE TECNOLOGÍAS DE INFORMACIÓN - DIRECCIÓN DE GESTIÓN CORPORATIVA -GRUPO INTERNO DE TRABAJO DE CONTRATACIÓN</t>
  </si>
  <si>
    <t>SERVIDOR DE APLICACIÓN Y SERVIDOR DE BASE DE DATOS</t>
  </si>
  <si>
    <t>BASE DE DATOS ORACLE</t>
  </si>
  <si>
    <t>SISTEMA DE INFORMACIÓN QUE CONTIENE LOS MÓDULOS CORRESPONDIENTES A LAS ETAPAS PRECONTRACTUAL,CONTRACTUAL Y POSTCONTRACTUAL DE LOS CONTRATOS SUSCRITOS POR LA SECRETARÍA (CONTRATOS: NUMERO DE CONTRATO, FECHA DE SUSCRIPCIÓN, DATOS DE LAS GARANTÍAS Y FECHA DE APROBACIÓN DE LAS MISMAS.)</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</si>
  <si>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</si>
  <si>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</si>
  <si>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GRUPO INTERNO DE TRABAJO DE GESTIÓN DE SERVICIOS ADMINISTRATIVOS</t>
  </si>
  <si>
    <t>OFICINA DE TECNOLOGIAS DE LA INFORMACION OTI</t>
  </si>
  <si>
    <t>DATA CENTER - SISTEMA GLPI MESA DE AYUDA</t>
  </si>
  <si>
    <t>XLS,PDF, ODS</t>
  </si>
  <si>
    <t>HENRY GARAY LUIS EDUARDO ARTEAGA PAOLA RAMIREZ</t>
  </si>
  <si>
    <t>PAOLA ANDREA RAMIREZ</t>
  </si>
  <si>
    <t>PRINT - STUDIO</t>
  </si>
  <si>
    <t>APLICATIVO QUE PERMITE REGISTRAR Y ELABORAR CARNETS DE IDENTIFICACIÓN PARA USO INTERNO Y EXTERNO DE FUNCIONARIOS Y CONTRATISTAS.</t>
  </si>
  <si>
    <t>MEMORIA DE APLICACIÓN, DE BASE DE DATOS APLICACIÓN.</t>
  </si>
  <si>
    <t>XLS</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</si>
  <si>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</si>
  <si>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</si>
  <si>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</si>
  <si>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</si>
  <si>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</si>
  <si>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DATA CENTER - SISTEMA DE GESTIÓN DOCUMENTAL- APLICATIVO ORACLE</t>
  </si>
  <si>
    <t>MEMORIA DE APLICATIVO, DE BASE DE DATOS APLICATIVO, DATA CENTER.</t>
  </si>
  <si>
    <t>GUSTAVO VASQUEZ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</si>
  <si>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</si>
  <si>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</si>
  <si>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</si>
  <si>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</si>
  <si>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 xml:space="preserve">CUENTAS DE ALMACEN </t>
  </si>
  <si>
    <t>TRASLADOS, EGRESOS, INGRESOS Y BAJAS</t>
  </si>
  <si>
    <t>LUIS EDUARDO ARTEAGA GUSTAVO IVAN VASQUEZ</t>
  </si>
  <si>
    <t>INVENTARIOS GENERALES DE ELEMENTOS DEVOLUTIVOS EN SERVICIO</t>
  </si>
  <si>
    <t xml:space="preserve">
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</si>
  <si>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</si>
  <si>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</si>
  <si>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BAJA</t>
  </si>
  <si>
    <t>PDF</t>
  </si>
  <si>
    <t xml:space="preserve">DOCUMENTO TECNICO DE LAS ESTRATEGIAS DE CULTURA CIUDADANA Y TRANSFORMACION CULTURAL </t>
  </si>
  <si>
    <t>CONTIENE INFORMACION DE FORMULACIÓN, DIAGNÓSTICO, OBJETIVOS Y ENFOQUE DE CADA ESTRAGEGIAS DE CULTURA CIUDADANA</t>
  </si>
  <si>
    <t>DIRECCION DE TRANSFORMACIONES CULTURALES</t>
  </si>
  <si>
    <t>SISTEMA DE GESTION DOCUMENTAL</t>
  </si>
  <si>
    <t>.PDF</t>
  </si>
  <si>
    <t>TRANSFORMACIONES CULTURALES</t>
  </si>
  <si>
    <t>HADY YIRLEY COPETE URRUTIA</t>
  </si>
  <si>
    <t>GIANCARLO CHIAPPE FERRONI</t>
  </si>
  <si>
    <t xml:space="preserve">DOCUMENTO DE BALANCE DE LAS ESTRATEGIAS DE CULTURA CIUDADANA Y TRANSFORMACION CULTURAL </t>
  </si>
  <si>
    <t>CONTIENE INFORMACION DE LOS RESULTADOS OBTENIDOS MEDIANTE LA IMPLEMENTACIÓN  DE CADA ESTRAGEGIAS DE CULTURA CIUDADANA</t>
  </si>
  <si>
    <t>ESCUELA DE HOMBRES AL CUIDADO</t>
  </si>
  <si>
    <t>SISTEMA DE SEGUIMIENTO, MONITOREO Y EVALUACION.</t>
  </si>
  <si>
    <t>.PDF Y POWER BI</t>
  </si>
  <si>
    <t xml:space="preserve">- BASES DE DATOS RECOGE LOS DATOS PERSONALES DE QUIENES ASISTEN A LAS CAPACITACIONES 
- NOMBRE
- ENTIDAD O DEPENDENCIA
- CARGO
- CORREO ELECTRONICO
- FIRMA </t>
  </si>
  <si>
    <t>CARPETA COMPARTIDA EN LA NUBE DERL LIDER DE LA ESTRATEGIA</t>
  </si>
  <si>
    <t>EXCEL</t>
  </si>
  <si>
    <t>LINEA CALMA</t>
  </si>
  <si>
    <t>BASE DE DATOS DE LOS USUARIOS QUE SE COMUNICAN CON LA "LINEA CALMA".
- NOMBRE
- C.C. 
- DIRECCION
- TELEFONO
- CORREO ELECTRONICO</t>
  </si>
  <si>
    <t>EQUIPO DE COMPUTO DEL SUPERVISOR DEL CONTRATO</t>
  </si>
  <si>
    <t>POWER BI</t>
  </si>
  <si>
    <t>BASE DE DATOS DE LOS USUARIOS QUE SE COMUNICAN CON LA "LINEA CALMA".
 - NOMBRE
- C.C. 
- DIRECCION
- TELEFONO
- CORREO ELECTRONICO</t>
  </si>
  <si>
    <t>EL CENTRO DE CONTACTO QUE PERMITE REALIZAR LA OPERACION DE LA ESTRATEGIA "LINEA CALMA", LA CUAL PROMUEVE EN LA CIUDADANIA UNA TRANSFORMACION CULTURAL DEL MACHISMO</t>
  </si>
  <si>
    <t>CENTRO DE CONTACTO</t>
  </si>
  <si>
    <t xml:space="preserve">LIDER DEL PROGRAMA CALMA </t>
  </si>
  <si>
    <t>CAPITAL HUMANO Y PROFESIONAL QUE CONOCE LOS PROCESOS TÉCNICOS Y MISIONALES, ASI COMO SU ORIENTACIÓN Y ARTICULACIÓN DE FORMA INSTITUCIONAL, SECTORIAL E INTERSECTORIAL</t>
  </si>
  <si>
    <t>RED DISTRITAL DE CULTURA CIUDADANA Y DEMOCRÁTICA</t>
  </si>
  <si>
    <t xml:space="preserve">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t>
  </si>
  <si>
    <t>DIRECCIÓN DE REDES Y ACCIÓN COLECTIVA</t>
  </si>
  <si>
    <t>ARCHIVO DIGITAL EN LA NUBE DE GOOGLE DRIVE DE LIDER DE RED DISTRITAL</t>
  </si>
  <si>
    <t>.GFORM, .GSHEET, .GDOC</t>
  </si>
  <si>
    <t>IPC</t>
  </si>
  <si>
    <t>NELSON LEIVA</t>
  </si>
  <si>
    <t>IVOONE RICO</t>
  </si>
  <si>
    <t>TOKEN PARA PAGO EN APLICATIVO SHD</t>
  </si>
  <si>
    <t xml:space="preserve">DIRECCION DE ARTE, CULTURAL Y PATRIMONIO </t>
  </si>
  <si>
    <t xml:space="preserve">LAURA PUENTES 
YENY GARZÓN </t>
  </si>
  <si>
    <t>LEONARDO GARZÓN ORTIZ</t>
  </si>
  <si>
    <t>DOCUMENTOS DE INSTACIAS DE LAS SIGUIENTES INSTACIAS DE PARTICIPACIÓN: CONSEJO DISTRITAL DE INFRAESTRUCTURA CULTURAL</t>
  </si>
  <si>
    <t>ESTE ACTIVO DE INFORMACIÓN CONTIENE: ACTAS, INFORME Y DOCUMENTOS TÉCNICOS DEL CONSEJO DISTRITAL DE INFRAESTRUCTURA CULTURAL</t>
  </si>
  <si>
    <t>GESTIÓN DOCUMENTAL 
OFICINA DE TECNOLOGÍAS DE LA INFORMACIÓN</t>
  </si>
  <si>
    <t>DATA CENTER DE LA SECRETARÍA DE CULTURA DE RECREACIÓN Y DEPORTE</t>
  </si>
  <si>
    <t>ACTAS DEL CONSEJO DISTRITAL DE INFRAESTRUCTURA CULTURAL</t>
  </si>
  <si>
    <t>DOCUMENTOS PARA LA PROTECCIÓN Y CONSERVACIÓN A LOS BIENES DE INTERÉS CULTURAL (PROCEDIMIENTO POLICIVO Y SANCIONATORIO)</t>
  </si>
  <si>
    <t xml:space="preserve">ESTE ACTIVO CONTIENE :  - ACTAS DE VISITA
- INFORMES TÉCNICOS    
- RESOLUCIONES EXPEDIDAS POR LA SECRETARÍA CULTURA RECREACIÓN Y DEPORTE 
- LISTADOS DE TODOS LOS BIENES CULTURALES DE LA CIUDAD
- VIDEOS DE AUDIENCIAS PÚBLICAS 
- REGISTRO FOTOGRÁFICO
- PLANIMETRÍA 
</t>
  </si>
  <si>
    <t xml:space="preserve">GESTIÓN DOCUMENTAL 
OFICINA DE TECNOLOGÍAS DE LA INFORMACIÓN  </t>
  </si>
  <si>
    <t xml:space="preserve">ARCHIVO CENTRAL </t>
  </si>
  <si>
    <t xml:space="preserve">DATA CENTER DE LA SECRETARÍA DE CULTURA RECREACIÓN Y DEPORTE </t>
  </si>
  <si>
    <t>.XLS, .PDF, .MP4</t>
  </si>
  <si>
    <t>DECLARATORIA DE BIENES DE INTERÉS CULTURAL</t>
  </si>
  <si>
    <t xml:space="preserve">N/A </t>
  </si>
  <si>
    <t xml:space="preserve">ARIEL FERNÁNDEZ BACA 
YENY GARZÓN
</t>
  </si>
  <si>
    <t xml:space="preserve">MAURIZIO TOSCANO </t>
  </si>
  <si>
    <t>BASE DE DATOS PARA LA PROTECCIÓN Y CONSERVACIÓN A LOS BIENES DE INTERÉS CULTURAL (PROCEDIMIENTO POLICIVO Y SANCIONATORIO)</t>
  </si>
  <si>
    <t xml:space="preserve">BASE DATOS QUE CONTIENEN INFORMACIÓN SOBRE: 
DIRECCIÓN
NÚMERO DE CHIP
EXPEDIENTE
DOCUMENTOS DE BASE
TELÉFONO 
CORREO
DATOS PERSONALES 
</t>
  </si>
  <si>
    <t>CARPETA DRIVE DE LA SUBDIRECCIÓN DE INFRAESTRUCTURA Y PATRIMONIO CULTURAL</t>
  </si>
  <si>
    <t>.XLS,</t>
  </si>
  <si>
    <t xml:space="preserve">BASE DE DATOS TRAMITES - SISTEMA DISTRITAL  DE PATRIMONIO CULTURAL </t>
  </si>
  <si>
    <t>BASE DE DATOS QUE CONTINE: 
INFORMACIÓN DEL DECRETO 070 DE 2015 TAL COMO:
FECHA DE RADICADO
TIPO DE SOLICITUD 
COMUNICACIONES DE ENTRADA Y SALIDA DE CADA UNO DE LOS TRÁMTES 
INFORMACIÓN SOBRE LAS RESOLUCIONES SISTEMA DISTRITAL DE PATRIMONIO CULTURAL:- NUMERO DE RESOLUCIÓN 
- DATOS INMUEBLE
- DECISIÓN ADOPTADA</t>
  </si>
  <si>
    <t>LILIANA RUIZ 
YENY GARZÓN</t>
  </si>
  <si>
    <t>SECCIÓN FORTALECIMIENTO DE LA INFRAESCTURA CULTURAL DE LA PÁGINA WEB SECRETARÍA DE CULTURA, RECREACIÓN Y DEPORTE</t>
  </si>
  <si>
    <t xml:space="preserve">SECCIÓN DE LA PÁGINA WEB DE LA SECRETARÍA DE CULTURA, RECREACIÓN DEPORTE/ FORTALECIMINETO DE LA INFRAESTRUCTURA CULTURAL QUE CONTIENE INFORMACIÓN SOBRE: - LAS ACTAS DE LAS SESIONES DE REUNIÓN DEL COMITÉ DE LA CONTRIBUCIÓN PARAFISCAL CULTURAL
- BANCO DE PROYECTOS (METODOLOGÍA, ANEXOS Y FORMATOS GUÍA).
- LA CONVOCATORIA (REQUISITOS, CRONOGRAMA, ALCANCE, ANEXOS). 
</t>
  </si>
  <si>
    <t xml:space="preserve">SUBDIRECCIÓN DE INFRAESTRUCTURA Y PATRIMONIO CULTURAL
OFICINA DE TECNOLOGÍAS DE LA COMUNICACIÓN
OFICINA ASESORA DE COMUNICACIONES </t>
  </si>
  <si>
    <t xml:space="preserve">DATA CENTER DE LA SECRETARÍA DE CULTURA RECREACIÓN Y DEPORTE
https://www.culturarecreacionydeporte.gov.co/es/arte-cultura-y-patrimonio/fortalecimiento-infraestructura-cultural/banco-de-proyectos-i-2023 </t>
  </si>
  <si>
    <t>.PDF, XLS, .DOCX</t>
  </si>
  <si>
    <t>JASSON VANEGAS 
YENY GARZÓN</t>
  </si>
  <si>
    <t xml:space="preserve">BASE DE DATOS DE PROYECTOS PRESENTADOS EN CONVOCATORIA LEY DEL ESPECTACULO PÚBLICO </t>
  </si>
  <si>
    <t>BASE DE DATOS DE PROYECTOS PRESENTADOS A LA CONVOCATORIA LEY DEL ESPECTÁCULO PÚBLICO A TRAVÉS DEL APLICATIVO SICON
ESTE ACTIVO DE INFORMACIÓN CONTIENE EL NOMBRE DE LA ORGANIZACIÓN, NOMBRE DEL REPRESNETANTE LEGAL, NIT, CÉDULA ,NOMBRE DEL PROYECTO, ESPECIFICACIONES TÉCNICAS, PRESUPUESTO PRESENTADO EN LA CONVOCATORIA</t>
  </si>
  <si>
    <t xml:space="preserve">DATA CENTER DE LA SECRETARÍA DE CULTURA RECREACIÓN Y DEPORTE
</t>
  </si>
  <si>
    <t>DOCUMENTOS PROYECTOS DE INFRAESTRUCTURA CULTURAL</t>
  </si>
  <si>
    <t>ESTE ACTIVO ESTÁ CONFORMADO POR:  ACTAS DEL COMITÉ DE LA CONTRIBUCIÓN PARAFISCAL  EN LAS QUE SE REGISTRAN LOS RECURSOS ASIGNADOS PARA LA CONVOCATORIA LEY DEL ESPECTÁCULO PÚBLICO  Y LOS BENEFICIARIOS DE LAS CONVOCATORIAS, INFORMES DE EJECUCIÓN DE LOS PROYECTOS BENEFICIARIOS, CONTRATOS, CONVENIOS, CONCEPTOS TÉCNICOS, ESTUDIOS Y DISEÑOS, PLANES DE GESTIÓN SOCIAL, MODELOS DE GESTIÓN Y OPERACIÓN, INFORMES DE EJECUCIÓN DE LOS PROYECTOS DE INFRAESTRUCTURA CULTURAL, CONTRATOS, CONVENIOS, CONCEPTOS TÉCNICOS, ACTAS DE SEGUIMIENTO</t>
  </si>
  <si>
    <t xml:space="preserve">SUBDIRECCIÓN DE INFRAESTRUCTURA Y PATRIMONIO CULTURAL
GESTIÓN DOCUMENTAL 
OFICINA DE TECNOLOGÍAS DE LA COMUNICACIÓN </t>
  </si>
  <si>
    <t xml:space="preserve">DATA CENTER DE LA SECRETARÍA DE CULTURA RECREACIÓN Y DEPORTE
CARPETA DRIVE DE LA SUBDIRECCIÓN DE INFRAESTRUCTURA Y PATRIMONIO CULTURAL
</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</si>
  <si>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</si>
  <si>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t>
  </si>
  <si>
    <t>PAOLA GAITÁN MARTÍNEZ 
YENY GARZÓN</t>
  </si>
  <si>
    <t>TOKEN</t>
  </si>
  <si>
    <t>DISPOSITIVO DE SEGURIDAD POR MEDIO DEL CUAL SE GENERA UN SERVICIO DE AUTENTICACIÓN</t>
  </si>
  <si>
    <t>BASE DE DATOS DE CONTACTOS DE LAS MESAS LOCALES DE GRAFITI Y/O DEL REPRESENTANTE</t>
  </si>
  <si>
    <t>ESTE ACTIVO DE INFORMACIÓN CONTIENE  DATOS DE CONTACTO DE LAS MESAS LOCALES DE GRAFITI Y/O DEL REPRESENTANTE TALES COMO: NOMBRE Y EMAIL</t>
  </si>
  <si>
    <t>SUBDIRECCIÓN DE GESTIÓN CULTURAL Y ARTÍSTICA</t>
  </si>
  <si>
    <t xml:space="preserve">CARPETA COMPARTIDA  EN UN DRIVE DE  DE LA SUBDIRECCIÓN DE GESTIÓN CULTURAL Y ARTÍSTICA </t>
  </si>
  <si>
    <t>.XLS</t>
  </si>
  <si>
    <t>PROCESOS DE PROMOCIÓN PARA LA PRÁCTICA RESPONSABLE DEL GRAFITI</t>
  </si>
  <si>
    <t xml:space="preserve">DIANA MUÑOZ 
DANIELA SANTOS 
YENY GARZÓN GODOY </t>
  </si>
  <si>
    <t>YOLANDA LÓPEZ CORREAL</t>
  </si>
  <si>
    <t>PÁGINA WEB BOGOTÁ DISTRITO GRAFITI</t>
  </si>
  <si>
    <t xml:space="preserve">PÁGINA WEB  QUE CONTIENE LA MEMORIA DE LAS INTERVENCIONES REALIZADAS EN EL MARCO DE LA ESTRATÉGIA DE ARTE URBANO RESPONSABLE </t>
  </si>
  <si>
    <t xml:space="preserve">OFICINA ASESORA DE COMUNICACIONES 
OFICINA DE TECNOLOGÍAS DE LA INFORMACIÓN </t>
  </si>
  <si>
    <t>DATA CENTER SECRETARÍA DE CULTURA, RECREACIÓN Y DEPORTE
https://www.bogotadistritografiti.gov.co/</t>
  </si>
  <si>
    <t xml:space="preserve">.JPG, .PNG, .PDF, .TIFF, . MP4, </t>
  </si>
  <si>
    <t xml:space="preserve">DIANA MUÑOZ
DIANA PALACIO
DANIELA SANTOS 
YENY GARZÓN GODOY  </t>
  </si>
  <si>
    <t xml:space="preserve">DOCUMENTOS DE INSCRIPCIÓN A LA OFERTA DE FORMACIÓN TITULADA Y COMPLEMENTARIA CONVENIO SENA - SCRD 
</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</si>
  <si>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</si>
  <si>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 xml:space="preserve">SUBDIRECCIÓN DE GESTIÓN CULTURAL Y ARTÍSTICA
</t>
  </si>
  <si>
    <t xml:space="preserve">	PROCESOS DE INSCRIPCIÓN A OFERTA DE FORMACIÓN ARTÍSTICA Y CULTURAL TITULADA</t>
  </si>
  <si>
    <t xml:space="preserve">JOHN PARDO 
YENY GARZÓN GODOY </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</si>
  <si>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</si>
  <si>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</si>
  <si>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SUBDIRECCIÓN DE GESTIÓN CULTURAL Y ARTÍSTICA
GESTIÓN DOCUMENTAL. OFICINA DE TECNOLOGÍAS DE LA INFORMACIÓN</t>
  </si>
  <si>
    <t>DATA CENTER SECRETARÍA DE CULTURA, RECREACIÓN Y DEPORTE</t>
  </si>
  <si>
    <t>.PDF .XLS .CVS</t>
  </si>
  <si>
    <t>PROCESOS DE CERTIFICACIÓN DE NO SUJECIÓN AL IMPUESTO UNIFICADO DE FONDO DE POBRES, AZAR Y ESPECTÁCULOS</t>
  </si>
  <si>
    <t xml:space="preserve">DIANA PALACIO VÁSQUEZ 
LÍA CABARCAS 
YENY GARZÓN </t>
  </si>
  <si>
    <t>DOCUMENTOS ACUERDO 897 DE 2023 EXENCIÓN DEL IMPUESTO PREDIAL UNIFICADO PARA TEATROS Y MUSEOS</t>
  </si>
  <si>
    <t xml:space="preserve">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t>
  </si>
  <si>
    <t>SISTEMA DE GESTIÓN DOCUMENTAL DE LA ENTIDAD</t>
  </si>
  <si>
    <t>PROCESOS DE EXENCIÓN EN EL IMPUESTO PREDIAL UNIFICADO SOBRE ESPACIOS CULTURALES</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</si>
  <si>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</si>
  <si>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</si>
  <si>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PROGRAMAS</t>
  </si>
  <si>
    <t>PROGRAMAS DE CONTENIDOS PARA CURSOS</t>
  </si>
  <si>
    <t xml:space="preserve">GERMÁN SALGADO 
JOHN PARDO 
YENY GARZON </t>
  </si>
  <si>
    <t>PLATAFORMA DE FORMACIÓN VIRTUAL EN ARTE, CULTURA  Y PATRIMONIO</t>
  </si>
  <si>
    <t>ESTE ACTIVO DE INFORMACIÓN CONTIENE:
- MÓDULOS DE LOS CURSOS O DIPLOMADOS SOBRE ARTE, CULTURA Y PATRIMONIO OFERTADOS POR LA SCRD.</t>
  </si>
  <si>
    <t xml:space="preserve">.PDF, .XLSX,  .JPG,  .PNG,  .MP4, .AVI, JAVA SCRIPT, HTML5 </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</si>
  <si>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</si>
  <si>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</si>
  <si>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</si>
  <si>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</si>
  <si>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DATACENTER SCRD</t>
  </si>
  <si>
    <t>.CSV, .PDF</t>
  </si>
  <si>
    <t>MARÍA ALEJANDRA DUEÑAS SÁNCHEZ 
MYRIAM STELLA GARCIA CORREDOR 
YENY GARZÓN GODOY</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</si>
  <si>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</si>
  <si>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</si>
  <si>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</si>
  <si>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PÁGINA WEB PLATAFORMA BENEFICIO ARTISTA MAYOR</t>
  </si>
  <si>
    <t xml:space="preserve">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t>
  </si>
  <si>
    <t>DATA CENTER SECRETARÍA DE CULTURA, RECREACIÓN Y DEPORTE
https://beneficioartistamayor.scrd.gov.co/</t>
  </si>
  <si>
    <t xml:space="preserve">YUCELLY ASCENCIO
YENY GARZÓN </t>
  </si>
  <si>
    <t xml:space="preserve">DOCUMENTOS DE VENTANILLA ÚNICA DE IMPLANTACIONES ARTÍSTICAS EN EL ESPACIO PÚBLICO (VIARTE), ARTE URBANO RESPONSABLE, REGULACIÓN ACTIVIDADES ARTÍSTICAS EN EL ESPACIO PÚBLICO 
</t>
  </si>
  <si>
    <t>ESTE ACTIVO DE INFORMACIÓN CONTIENE: ACTAS, INFORME Y DOCUMENTOS TÉCNICOS</t>
  </si>
  <si>
    <t xml:space="preserve">PROCESOS
INFORMES </t>
  </si>
  <si>
    <t>PROCESOS DE PROMOCIÓN PARA LA PRÁCTICA RESPONSABLE DEL GRAFITI
PROCESOS DE REGULACIÓN Y SEGUIMIENTO DE ACTIVIDAD ARTÍSTICA EN EL ESPACIO PÚBLICO - VIARTE
INFORMES DE VENTANILLA ÚNICA DE IMPLANTACIONES ARTÍSTICAS EN EL ESPACIO PÚBLICO</t>
  </si>
  <si>
    <t xml:space="preserve">DANIELA SANTOS 
YENY GARZÓN </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</si>
  <si>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</si>
  <si>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</si>
  <si>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 xml:space="preserve">YENY GARZÓN </t>
  </si>
  <si>
    <t>ESTE ACTIVO DE INFORMACIÓN CONTIENE LAS ACTAS DE COMITÉ DE CONCILIACIÓN (ACTAS Y DOCUMENTOS ANEXOS: FICHAS) Y LAS ACTAS DE COMITÉ DE CARTERA (ACTAS Y DOCUMENTOS ANEXOS: FICHAS E INFORMES)</t>
  </si>
  <si>
    <t>OFICINA DE TECNOLOGÍA DE LA INFORMACIÓN Y GRUPO DE GESTIÓN DOCUMENTAL</t>
  </si>
  <si>
    <t>N.A.</t>
  </si>
  <si>
    <t>SISTEMA DE GESTIÓN DOCUMENTAL - DATACENTER SECRETARÍA DISTRITAL DE CULTURA, RECREACIÓN DEPORTE</t>
  </si>
  <si>
    <t>.DOC, .XLS, .PPT, .PDF</t>
  </si>
  <si>
    <t>ACTAS DE COMITÉ DE CONCILIACIÓN 
ACTAS DE COMITÉ DE CARTERA</t>
  </si>
  <si>
    <t>LUZ ANGELA CARDOSO BRAVO
MARTHA REYES CASTILLO</t>
  </si>
  <si>
    <t>MARÍA MARGARITA RÚA ATEHORTÚA</t>
  </si>
  <si>
    <t>ESTE ACTIVO DE INFORMACIÓN CONTIENE LAS ACTAS DE COMITÉ  INTERSECTORIAL DE COORDINACIÓN JURÍDICA (LINEAMIENTOS JURÍDICOS SECTORIALES ACTAS Y DOCUMENTOS ANEXOS: DOCUMENTOS DE TRABAJO) Y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</si>
  <si>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</si>
  <si>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</si>
  <si>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MARTHA REYES CASTILLO</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</si>
  <si>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</si>
  <si>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</si>
  <si>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N..A.</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</si>
  <si>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</si>
  <si>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</si>
  <si>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</si>
  <si>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</si>
  <si>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</si>
  <si>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ACCIONES POPULARES</t>
  </si>
  <si>
    <t>LUZ ANGELA CARDOSO BRAVO</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</si>
  <si>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</si>
  <si>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 xml:space="preserve">APLICATIVO DJANGO </t>
  </si>
  <si>
    <t xml:space="preserve">APLICATIVO UTILIZADO PARA EL REGISTRO DE INFORMACIÒN DE LOS ORGANISMOS VINCULADOS AL SISTEMA NACIONAL DEL DEPORTE Y DE LAS LAS ESAL SUJETAS A INSPECCION, VIGILANCIA Y CONTROL </t>
  </si>
  <si>
    <t>DIRECCION DE PERSONAS JURIDICAS</t>
  </si>
  <si>
    <t xml:space="preserve">DATACENTER SECRETARIA DE CULTURA RECREACION Y DEPORTE </t>
  </si>
  <si>
    <t>SQL, ORACLE, PYTON</t>
  </si>
  <si>
    <t>LILIAN MARCELA LOPEZ TORRES / JUAN MANUEL POVEDA MUÑOZ</t>
  </si>
  <si>
    <t>JUAN MANUEL VARGAS AYALA</t>
  </si>
  <si>
    <t>EXPEDIENTES ADMINISTRATIVOS DE LOS ORGANISMOS DEPORTIVOS VINCULADOS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</si>
  <si>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</si>
  <si>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</si>
  <si>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</si>
  <si>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</si>
  <si>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</si>
  <si>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</si>
  <si>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</si>
  <si>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 xml:space="preserve">INSPECCIONES, VIGILANCIA Y CONTROLES.
</t>
  </si>
  <si>
    <t xml:space="preserve">INFORMACION RELACIONADA CON LAS ENTIDADES SIN ANIMO DE LUCRO RECOLECTADA EN LA BASE DE DATOS </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</si>
  <si>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</si>
  <si>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.CSV .XLSX</t>
  </si>
  <si>
    <t xml:space="preserve">MATRIZ DE SEGUIMIENTO A LA COOPERACIÓN Y PROYECCIÓN INTERNACIONAL </t>
  </si>
  <si>
    <t xml:space="preserve">CONTIENE INFORMACIÓN DE CONCEPTOS BÁSICOS DE COOPERACIÓN INTERNACIONAL, BUENAS PRÁCTICAS Y EXPERIENCIAS SIGNIFICATIVAS, RECONOCIMIENTOS O PREMIOS INTERNACIONALES, ESPACIOS DE MOVILIZACIÓN DEL CONOCIMIENTO Y PROYECCIÓN INTERNACIONAL, CONVOCATORIAS, PROYECTOS DE COOPERACIÓN, AGENDAS CONSOLIDADAS DE COOPERACIÓN, INSTRUMENTOS DE COOPERACIÓN FORMALIZADOS O EN PROCESO Y REDES DE CIUDADES </t>
  </si>
  <si>
    <t>DESPACHO - EQUIPO DE INTERNACIONALIZACIÓN</t>
  </si>
  <si>
    <t>DRIVE - CONTRATISTA ROL MATRIZ COOPERACIÓN INTERNACIONAL</t>
  </si>
  <si>
    <t>RELACIONES</t>
  </si>
  <si>
    <t>RELACIONES INTERNACIONALES - PROYECTO DE INVERSIÓN 7656</t>
  </si>
  <si>
    <t>ALEJANDRA NUÑEZ</t>
  </si>
  <si>
    <t>CATALINA VALENCIA</t>
  </si>
  <si>
    <t xml:space="preserve">BASE DE DATOS SEGUIMEINTO A PROPOSICIONES </t>
  </si>
  <si>
    <t xml:space="preserve">ES UN INSTRUMENTO PARA REALIZAR EL SEGUIMIENTO A LAS PROPOSICIONES DEL CONCEJO DE BOGOTÁ, EL CUAL CONTIENE LOS SIGUENTES DATOS: FECHA DE RECEPCIÓN, RADICADO DE ENTRADA, PLAZO A VENCER, FECHA DE PRÓRROGA SI ES EL CASO, NOMBRE DEL RESPONSABLE, TEMA OBJETO DE LA PROPOSICIÓN, NOMBRE DE LA BANCADA CITANTE, RADICADO DE SALIDA, Y FECHA DE ENVÍO FINAL. </t>
  </si>
  <si>
    <t>DESPACHO - ASESOR RELACIONES POLÍTICAS 105-04</t>
  </si>
  <si>
    <t xml:space="preserve">DRIVE - ASESOR RELACIONES POLÍTICAS </t>
  </si>
  <si>
    <t xml:space="preserve">RELACIONES CON EL CONCEJO SOBRE PROPOSICIONES </t>
  </si>
  <si>
    <t>CESAR AUGUSTO POLO</t>
  </si>
  <si>
    <t xml:space="preserve">CATALINA VALENCIA TOBON </t>
  </si>
  <si>
    <t xml:space="preserve">BASE DE DATOS DE DERECHOS DE PETICIÓN CONCEJO - CONGRESO </t>
  </si>
  <si>
    <t>ES UN INSTRUMENTO QUE CONTIENE LA FECHA DE RECEPCIÓN. RADICADO DE ENTRADA, PLAZO A VENCER, TEMA OBJETO DE LA PROPOSICIÓN, NOMBRE DEL CONCEJAL O CONGRESISTA, RADICADO DE SALIDA, Y FECHA DE ENVÍO FINAL</t>
  </si>
  <si>
    <t xml:space="preserve">RELACIONES PÚBLICAS E INTERINSTITUCIONALES DEL DESPACHO </t>
  </si>
  <si>
    <t>TRACKING COVID</t>
  </si>
  <si>
    <t>MEDICIÓN PERIÓDICA DE MEDIDAS DE BIOSEGURIDAD Y CONTAGIO DE COVID - ES INFORMACIÓN ANOMIMIZADA CON FINES ESTADÍSTICOS. ES UNA ENCUESTA PROBABILÍSTICA DONDE SE SOLICITÓ INFORMACIÓN SOBRE HÁBITOS Y PERCEPCIONES RESPECTO AL COVID.  LA INFORMACIÓN PERSONAL RECOLECTADA FUE SEXO, EDAD, NIVEL SOCIOECONÓMICO, ACTIVIDAD A LA QUE SE DEDICA, LOCALIDA DE RESIDENCIA, TELÉFONO DE CONTACTO, NOMBRES , APELLIDOS Y DIRECCIÓN DE LA VIVIENDA.  SE RECOGIÓ ENTRE 2020 Y 2022.</t>
  </si>
  <si>
    <t>DIRECCIÓN DE OBSERVATORIO Y GESTIÓN DEL CONOCIMIENTO CULTURAL</t>
  </si>
  <si>
    <t>PROCEDIMIENTO DE MEDICIONES Y ANALÍTICA EN CAMPO OFICINA DE TECNOLOGIAS DE LA INFORMACIÓN</t>
  </si>
  <si>
    <t>DATA CENTER DE LA SECRETARIA DE CULTURA RECREACION Y DEPORTE</t>
  </si>
  <si>
    <t>.XLSX, .PDF.</t>
  </si>
  <si>
    <t>12//07/2023</t>
  </si>
  <si>
    <t>GISELA CASTRILLÓN MORENO.
MARIA DEL PILAR ACOSTA</t>
  </si>
  <si>
    <t>LUIS FELIPE CALERO GONZÁLEZ</t>
  </si>
  <si>
    <t>MEDICIONES, ENCUESTAS, SONDEOS Y CONTEOS</t>
  </si>
  <si>
    <t>3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  1 EXPERIMENTO     DE GÉNERO.
1 CONTEOS         DE LABORATORIO.
6 CONTEOS  6 ENCUESTA  2 EXPERIMENTO     DE MOVILIDAD.
1 ENCUESTA       DE RED.
      1 SONDEO   DE RED - MOVILIDAD - SALUD.
  1 ENCUESTA       DE RED-SALUD.
2 CONTEOS  2 ENCUESTA  1 EXPERIMENTO     DE SALUD.
2 ENCUESTAS EN TEMAS DE SALUD Y OTROS
  3 ENCUESTAS MOVILIDAD (PEATONES, SEGURIDAD VIAL, BICIUSUARIOS, MOVILIDAD SOSTENIBLE)
  1 ENCUESTA  SOBRE LECTURA, ESCRITURA, ORALIDAD Y EQUIPAMIENTOS CULTURALES.
3 SONDEOS   DE SECTOR ARTE, CULTURA Y PATRIMONIO.
3 ENCUESTAS DEL SECTOR DEPORTE Y RECREACIÓN.
1 SONDEO   DE SECTOR PATRIMONIO.
3 CENSOS DE PREDIOS QUE SON BIENES DE INTERÉS CULTURAL
1 CONTEOS DE SUBSECRETARÍA DE CULTURA CIUDADANA.
1 ENCUESTA TRANSVERSAL EN TEMAS DE CULTURA CIUDADANA
1 ENCUESTA DE CULTURA DIGITAL
1 ENCUESTA A NIVEL DE BOGOTÁ REGIÓN.
2 ENCUESTAS SOBRE DISCRIMINACIONES
1 ENCUESTA SOBRE VIOLENCIA INTERPERSONAL
2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</si>
  <si>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</si>
  <si>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</si>
  <si>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t>
  </si>
  <si>
    <t>XLSX, SPSS, CSV</t>
  </si>
  <si>
    <t>PROGRAMAS UTILIZADOS PARA EL ANALISÍS, PROCESMAIENTO Y VISUALIZACIÓN DE LOS DATOS</t>
  </si>
  <si>
    <t>SPSS, INVIVO, ARCGIS, POWERBI</t>
  </si>
  <si>
    <t>SEDE PRINCIPAL DE LA SECRETARIA DE CULTURA, RECREACIÓN Y DEPORTE</t>
  </si>
  <si>
    <t xml:space="preserve">PC DEL DIRECTOR DE OBSERVATORIO DE GESTIÓN DEL CONOCIMIENTO
EL ARCGIS SE ENCUENTRA INSTALADO EN EL SERVIDOR DE LA SCRD Y ACCEDEMOS ONLINE.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</si>
  <si>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</si>
  <si>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</si>
  <si>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</si>
  <si>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</si>
  <si>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t>
  </si>
  <si>
    <t xml:space="preserve">PDF, PPTX, HTML, DOCX, </t>
  </si>
  <si>
    <t>MARCELA JANETH GARZÓN GARCIA</t>
  </si>
  <si>
    <t>MICROSITIO DE CULTURA CIUDADANA</t>
  </si>
  <si>
    <t>DISPOSICIÓN DE DATOS E INFORMACIÓN RELEVANTE RESULTANTE DE LAS INVESTIGACIONES</t>
  </si>
  <si>
    <t>DIRECCIÓN OBSERVATORIO DE GESTIÓN DEL CONOCIMIENTO CULTURAL</t>
  </si>
  <si>
    <t>PAGINA WEB</t>
  </si>
  <si>
    <t xml:space="preserve">PDF </t>
  </si>
  <si>
    <t>MARCELA  GARZÓN  Y RAFAEL RICARDO VILLA ROJAS</t>
  </si>
  <si>
    <t>OFERTA DE INFORMACIÓN PERTIENNTE A LA CULTURA CIUDADANA Y DE INFORMACIÓN DE EVENTOS EN LA ACTUALIDAD</t>
  </si>
  <si>
    <t>PÁGINA WEB</t>
  </si>
  <si>
    <t>REPOSITORIO DE CONTENIDOS E INVESTIGACIONES</t>
  </si>
  <si>
    <t>LISTADO DE ARCHIVOS RELACIONADOS CON DOCUMENTOS, PUBLICACIONES, PRESENTACIONES, VIDEOS QUE SON EL RESULTADO DE INVESTIGACIONES DEL SECTOR CULTURA, RECREACIÓN Y DEPORTE.</t>
  </si>
  <si>
    <t>NA</t>
  </si>
  <si>
    <t>GOOGLE DRIVE SCRD</t>
  </si>
  <si>
    <t>SQL, Excel, GoogleSheets</t>
  </si>
  <si>
    <t>JAVIER MAURICIO OJEDA PEPINOSA</t>
  </si>
  <si>
    <t>TOKEN PARA FIRMA DE PLANILLAS</t>
  </si>
  <si>
    <t>PERMITE REALIZAR CON SEGURIDAD Y TRAZABILIDAD LAS APROBACIONES DE LOS PAGOS MENSUALES EN EL MARCO DE LA EJECUCION DEL PROYECTO DE INVERSION 7879</t>
  </si>
  <si>
    <t>ORDENADOR DEL GASTO SUBSECRETARÍA DE CULTURA CIUDADANA Y GESTIÓN DE CONOCIMIENTO</t>
  </si>
  <si>
    <t>DESPACHO DE LA SUBSECRETARÍA DISTRITAL DE CULTURA CIUDADANA Y GESTIÓN DEL CONOCIMIENTO</t>
  </si>
  <si>
    <t>SANDRA MILENA ARISTIZABAL</t>
  </si>
  <si>
    <t>LUIS FELIPE CALERO GONZALEZ</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</si>
  <si>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</si>
  <si>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</si>
  <si>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</si>
  <si>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</si>
  <si>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.PDF, .PPT</t>
  </si>
  <si>
    <t>REDES SOCIALES CULTURA CIUDADANA</t>
  </si>
  <si>
    <t>CUENTAS OFICIALES @BOGOTAESCIVICA EN INSTAGRAM, FACEBOOK Y TWITTER DE LA SUBSECRETARÍA DISTRITAL DE CULTURA CIUDADANA</t>
  </si>
  <si>
    <t>INSTAGRAM
FACEBOOK
TWITTER</t>
  </si>
  <si>
    <t>.MP4 .PNG</t>
  </si>
  <si>
    <t>COPIAS DE SEGURIDAD</t>
  </si>
  <si>
    <t>ESTE ACTIVO INCLUYE COPIAS DE SEGURIDAD DE LAS BASES DE DATOS, CONFIGURACIONES DE EQUIPOS, CÓDIGO FUENTE, SISTEMAS DE INFORMACIÓN, INFORMACIÓN DE LAS DEPENDENCIAS.</t>
  </si>
  <si>
    <t>TODAS LAS AREAS</t>
  </si>
  <si>
    <t>DATACENTER</t>
  </si>
  <si>
    <t>.ZIP, .TAR, OTROS</t>
  </si>
  <si>
    <t>NICOLAS VILLAMIL
PATRICIA RODRIGUEZ</t>
  </si>
  <si>
    <t>VIVIANA MARGARITA BYUELO SERRANO</t>
  </si>
  <si>
    <t>SERVICIOS TECNOLÓGICOS</t>
  </si>
  <si>
    <t>ESTE ACTIVO INCLUYE LOS SERVICIOS DE TI QUE PRESTA LA OFICINA DE TECNOLOGÍAS DE LA INFORMACIÓN, LOS CUALES SON: COPIADO E IMPRESIÓN, INTERNET, CORREO ELECTRÓNICO, TELEFONÍA, MESA DE SERVICIOS, VPN, WIFI, ESCANEO</t>
  </si>
  <si>
    <t>.XML</t>
  </si>
  <si>
    <t>INFRAESTRUCTURA TECNOLÓGICA ONPREMISE</t>
  </si>
  <si>
    <t xml:space="preserve">ESTE ACTIVO INCLUYE: SERVIDORES (FISICOS Y VIRTUALES), EQUIPOS DE COMUNICACIONES, EQUIPOS DE SEGURIDAD PERIMETRAL, EQUIPOS DE USUARIO FINAL, ALMACENAMIENTO.  </t>
  </si>
  <si>
    <t>DATACENTER
SEDE PRINCIPAL</t>
  </si>
  <si>
    <t>VHD, OTROS</t>
  </si>
  <si>
    <t>INFRAESTRUCTURA TECNOLÓGICA NUBE</t>
  </si>
  <si>
    <t>ESTE ACTIVO INCLUYE: SERVIDORES VIRTUALES, SERVICIOS IAAS, PAAS</t>
  </si>
  <si>
    <t>DOCUMENTACIÓN PRODUCIDA POR LA OTI EN EL EJERCICIO DE SUS FUNCIONES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</si>
  <si>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</si>
  <si>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</si>
  <si>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</si>
  <si>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</si>
  <si>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DOCUMENTOS NO OFICIALES, PLANES</t>
  </si>
  <si>
    <t>ADMINISTRADORES DE INFRAESTRUCTURA</t>
  </si>
  <si>
    <t>ESTE ACTIVO INCLUYE: ADMINISTRADOR INFRAESTRUCTURA, BASES DE DATOS.</t>
  </si>
  <si>
    <t>APLICATIVOS BASE Y OTROS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</si>
  <si>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</si>
  <si>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DIRECTORIO ACTIVO</t>
  </si>
  <si>
    <t>ESTE ACTIVO INCLUYE: DIRECTORIO ACTIVO, LDAP, KEYCLOAK</t>
  </si>
  <si>
    <t>INFRAESTRUCTURA TECNOLOGICA</t>
  </si>
  <si>
    <t>DATACENTER SCRD - NUBE PUBLICA</t>
  </si>
  <si>
    <t>DATACENTER
SEDE PRINCIPAL
SERVICIOS DE NUBE</t>
  </si>
  <si>
    <t xml:space="preserve">APLICATIVOS Y SISTEMAS DE INFORMACIÓN </t>
  </si>
  <si>
    <t xml:space="preserve">APLICATIVOS, MOTORES DE BASES DE DATOS, COMPONENTES, LENGUAJES DE PROGRAMACIÓN, REPOSITORIO DE VERSIONAMIENTO, CODIGO FUENTE. </t>
  </si>
  <si>
    <t>GITLAB</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</si>
  <si>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</si>
  <si>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</si>
  <si>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</si>
  <si>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</si>
  <si>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 xml:space="preserve">ARCHIVO CENTRAL  </t>
  </si>
  <si>
    <t xml:space="preserve">
DATACENTER DE LA SECREATARÍA DE CULTURA RECREACIÓN Y DEPORTE</t>
  </si>
  <si>
    <t>PAPEL 
FOTOGRAFÍAS
PLANOS
ACETATOS
CINTAS MAGNÉTICAS
DISCOS ÓPTICOS
GRANDES FORMATOS EN PAPEL
UNIDADES EXTRAIBLES
LIBROS EMPASTADOS
PDF
PDF/A
DOCX
XLSX
PPT
ZIP
WINRAR 
MP4 / WMP</t>
  </si>
  <si>
    <t>ARCHIVO DE GESTIÓN CENTRALIZADO</t>
  </si>
  <si>
    <t>DATACENTER DE LA SECREATARÍA DE CULTURA RECREACIÓN Y DEPORTE</t>
  </si>
  <si>
    <t>BASE DE DATOS DEL SISTEMA DE GESTIÓN DOCUMENTAL</t>
  </si>
  <si>
    <t>ESTRUCTURA DE ALMACENAMIENTO DIGITAL DISEÑADA PARA ORGANIZAR Y GESTIONAR INFORMACIÓN RELACIONADA CON LOS DOCUMENTOS EN UN SISTEMA DE GESTIÓN DOCUMENTAL DE LA SECRETARÍA DE CULTURA RECREACIÓN Y DEPORTE. ALMACENA METADATOS Y FACILITA LA BÚSQUEDA Y RECUPERACIÓN DE DOCUMENTOS.</t>
  </si>
  <si>
    <t>PDF
PDF/A
DOCX
XLSX
PPT
ZIP
WINRAR 
MP4 / WMP</t>
  </si>
  <si>
    <t>DESARROLLADOR Y SOPORTE TÉCNICO DEL SISTEMA DE GESTIÓN DOCUMENTAL</t>
  </si>
  <si>
    <t>ENCARGADO DE LA CONFIGURACIÓN TÉCNICA, MANTENIMIENTO, SEGURIDAD Y RENDIMIENTO DEL SISTEMA DE GESTIÓN DOCUMENTAL. GARANTIZA LA INTEGRIDAD Y DISPONIBILIDAD DE LOS DATOS ALMACENADOS EN EL SISTEMA, ASÍ COMO LA RESOLUCIÓN DE PROBLEMAS Y ACTUALIZACIONES DEL SOFTWARE.</t>
  </si>
  <si>
    <t xml:space="preserve">INSTRUMENTOS ARCHIVÍSTICOS </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</si>
  <si>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</si>
  <si>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https://www.culturarecreacionydeporte.gov.co/es/transparencia-acceso-informacion-publica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</si>
  <si>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</si>
  <si>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</si>
  <si>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</si>
  <si>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</si>
  <si>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FONDOS DOCUMENTALES ACUMULADOS</t>
  </si>
  <si>
    <t xml:space="preserve">POLÍTICAS Y PROCEDIMIENTOS DE LA GESTIÓN DOCUMENTAL </t>
  </si>
  <si>
    <t>DOCUMENTOS FORMALES QUE ESTABLECEN LAS DIRECTRICES Y LINEAMIENTOS ESPECÍFICOS PARA LA GESTIÓN DE DOCUMENTOS EN LA ENTIDAD ABORDAN ASPECTOS COMO CLASIFICACIÓN, ALMACENAMIENTO, ACCESO, SEGURIDAD, RETENCIÓN Y DISPOSICIÓN DE LOS DOCUMENTOS.</t>
  </si>
  <si>
    <t>PROGRAMA DE GESTIÓN DOCUMENTAL</t>
  </si>
  <si>
    <t>SISTEMA DE GESTIÓN DOCUMENTAL</t>
  </si>
  <si>
    <t>PLATAFORMA O SOFTWARE UTILIZADO PARA ALMACENAR, ORGANIZAR Y GESTIONAR DOCUMENTOS DE FORMA ELECTRÓNICA. PERMITE LA CREACIÓN, CAPTURA, ALMACENAMIENTO, BÚSQUEDA Y RECUPERACIÓN EFICIENTE Y SEGURA DE DOCUMENTOS DIGITALES.</t>
  </si>
  <si>
    <t>CRISTIAN CABRA
CATALINA FORERO</t>
  </si>
  <si>
    <t>PAOLA RAMIREZ</t>
  </si>
  <si>
    <t>SECRETARÍA DE CULTURA, RECREACIÓN Y DEPORTE
INDICE DE INFORMACIÓN CLASIFCADA Y RESERVADA SCRD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</si>
</sst>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mmm\-yy"/>
  </numFmts>
  <fonts count="36" x14ac:knownFonts="1">
    <font>
      <sz val="11"/>
      <color theme="1"/>
      <name val="Calibri"/>
      <family val="2"/>
      <scheme val="minor"/>
    </font>
    <font>
      <sz val="10"/>
      <name val="Arial"/>
      <family val="2"/>
    </font>
    <font>
      <b/>
      <sz val="11"/>
      <name val="Times New Roman"/>
      <family val="1"/>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b/>
      <sz val="10"/>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sz val="12"/>
      <name val="Times New Roman"/>
      <family val="1"/>
    </font>
    <font>
      <b/>
      <sz val="10"/>
      <color theme="0"/>
      <name val="Times New Roman"/>
      <family val="1"/>
    </font>
    <font>
      <b/>
      <sz val="10"/>
      <color theme="0"/>
      <name val="Arial"/>
      <family val="2"/>
    </font>
    <font>
      <sz val="12"/>
      <color rgb="FF000000"/>
      <name val="Times New Roman"/>
      <family val="1"/>
    </font>
    <font>
      <b/>
      <sz val="10"/>
      <name val="Calibri"/>
      <family val="2"/>
      <scheme val="minor"/>
    </font>
    <font>
      <sz val="8"/>
      <name val="Calibri"/>
      <family val="2"/>
      <scheme val="minor"/>
    </font>
    <font>
      <sz val="11"/>
      <color theme="1"/>
      <name val="Calibri"/>
      <family val="2"/>
    </font>
    <font>
      <b/>
      <sz val="9"/>
      <color rgb="FF000000"/>
      <name val="Arial Narrow"/>
      <family val="2"/>
    </font>
    <font>
      <sz val="9"/>
      <color rgb="FF000000"/>
      <name val="Arial Narrow"/>
      <family val="2"/>
    </font>
    <font>
      <b/>
      <u/>
      <sz val="9"/>
      <color rgb="FF000000"/>
      <name val="Arial Narrow"/>
      <family val="2"/>
    </font>
    <font>
      <sz val="9"/>
      <color rgb="FFC9211E"/>
      <name val="Arial Narrow"/>
      <family val="2"/>
      <charset val="1"/>
    </font>
    <font>
      <b/>
      <sz val="14"/>
      <color rgb="FF000000"/>
      <name val="Times New Roman"/>
      <family val="1"/>
    </font>
    <font>
      <sz val="12"/>
      <color rgb="FFFF0000"/>
      <name val="Times New Roman"/>
      <family val="1"/>
    </font>
    <font>
      <sz val="12"/>
      <color rgb="FF1F1F1F"/>
      <name val="Times New Roman"/>
      <family val="1"/>
    </font>
    <font>
      <sz val="12"/>
      <color rgb="FF202124"/>
      <name val="Times New Roman"/>
      <family val="1"/>
    </font>
    <font>
      <u/>
      <sz val="11"/>
      <color theme="10"/>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FFFF00"/>
        <bgColor indexed="64"/>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
      <patternFill patternType="solid">
        <fgColor theme="9" tint="0.59999389629810485"/>
        <bgColor indexed="64"/>
      </patternFill>
    </fill>
    <fill>
      <patternFill patternType="solid">
        <fgColor theme="9"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dotted">
        <color indexed="64"/>
      </left>
      <right style="dotted">
        <color indexed="64"/>
      </right>
      <top/>
      <bottom style="dotted">
        <color indexed="64"/>
      </bottom>
      <diagonal/>
    </border>
    <border>
      <left/>
      <right/>
      <top style="dotted">
        <color indexed="64"/>
      </top>
      <bottom/>
      <diagonal/>
    </border>
    <border>
      <left style="medium">
        <color indexed="64"/>
      </left>
      <right/>
      <top style="dotted">
        <color indexed="64"/>
      </top>
      <bottom/>
      <diagonal/>
    </border>
  </borders>
  <cellStyleXfs count="6">
    <xf numFmtId="0" fontId="0" fillId="0" borderId="0"/>
    <xf numFmtId="9" fontId="1" fillId="0" borderId="0" applyFont="0" applyFill="0" applyBorder="0" applyAlignment="0" applyProtection="0"/>
    <xf numFmtId="0" fontId="11" fillId="4" borderId="0" applyNumberFormat="0" applyBorder="0" applyAlignment="0" applyProtection="0"/>
    <xf numFmtId="0" fontId="13" fillId="5" borderId="0" applyBorder="0" applyProtection="0"/>
    <xf numFmtId="0" fontId="15" fillId="0" borderId="0"/>
    <xf numFmtId="0" fontId="35" fillId="0" borderId="0" applyNumberFormat="0" applyFill="0" applyBorder="0" applyAlignment="0" applyProtection="0"/>
  </cellStyleXfs>
  <cellXfs count="251">
    <xf numFmtId="0" fontId="0" fillId="0" borderId="0" xfId="0"/>
    <xf numFmtId="0" fontId="14" fillId="6" borderId="0" xfId="3" applyFont="1" applyFill="1" applyBorder="1" applyAlignment="1" applyProtection="1">
      <alignment horizontal="center" vertical="center" wrapText="1"/>
    </xf>
    <xf numFmtId="0" fontId="16" fillId="0" borderId="0" xfId="4" applyFont="1" applyAlignment="1">
      <alignment wrapText="1"/>
    </xf>
    <xf numFmtId="0" fontId="16" fillId="0" borderId="0" xfId="4" applyFont="1"/>
    <xf numFmtId="0" fontId="14" fillId="6" borderId="1" xfId="3" applyFont="1" applyFill="1" applyBorder="1" applyAlignment="1" applyProtection="1">
      <alignment horizontal="center" vertical="center" wrapText="1"/>
    </xf>
    <xf numFmtId="0" fontId="16" fillId="0" borderId="1" xfId="4" applyFont="1" applyBorder="1" applyAlignment="1">
      <alignment horizontal="center" vertical="center" wrapText="1"/>
    </xf>
    <xf numFmtId="0" fontId="16" fillId="0" borderId="1" xfId="4" applyFont="1" applyBorder="1" applyAlignment="1">
      <alignment horizontal="left" vertical="center" wrapText="1"/>
    </xf>
    <xf numFmtId="0" fontId="16" fillId="7" borderId="1" xfId="4" applyFont="1" applyFill="1" applyBorder="1" applyAlignment="1">
      <alignment horizontal="justify" vertical="top" wrapText="1"/>
    </xf>
    <xf numFmtId="0" fontId="16" fillId="0" borderId="1" xfId="4" applyFont="1" applyBorder="1" applyAlignment="1">
      <alignment horizontal="justify" vertical="center" wrapText="1"/>
    </xf>
    <xf numFmtId="0" fontId="14" fillId="6" borderId="1" xfId="4" applyFont="1" applyFill="1" applyBorder="1" applyAlignment="1">
      <alignment horizontal="center" vertical="center"/>
    </xf>
    <xf numFmtId="0" fontId="16" fillId="0" borderId="1" xfId="4" applyFont="1" applyBorder="1" applyAlignment="1">
      <alignment horizontal="left" vertical="center"/>
    </xf>
    <xf numFmtId="0" fontId="16" fillId="0" borderId="1" xfId="4" applyFont="1" applyBorder="1" applyAlignment="1">
      <alignment horizontal="center" vertical="center"/>
    </xf>
    <xf numFmtId="0" fontId="16" fillId="0" borderId="1" xfId="4" applyFont="1" applyBorder="1" applyAlignment="1">
      <alignment horizontal="justify" vertical="center"/>
    </xf>
    <xf numFmtId="0" fontId="14" fillId="6" borderId="1" xfId="4" applyFont="1" applyFill="1" applyBorder="1" applyAlignment="1">
      <alignment horizontal="center" vertical="center" wrapText="1"/>
    </xf>
    <xf numFmtId="0" fontId="17" fillId="7" borderId="1" xfId="4" applyFont="1" applyFill="1" applyBorder="1" applyAlignment="1">
      <alignment horizontal="center" vertical="center" wrapText="1"/>
    </xf>
    <xf numFmtId="0" fontId="18" fillId="8" borderId="12" xfId="4" applyFont="1" applyFill="1" applyBorder="1" applyAlignment="1">
      <alignment horizontal="center" vertical="center"/>
    </xf>
    <xf numFmtId="0" fontId="18" fillId="0" borderId="13" xfId="4" applyFont="1" applyBorder="1" applyAlignment="1">
      <alignment horizontal="center" vertical="center" wrapText="1"/>
    </xf>
    <xf numFmtId="0" fontId="18" fillId="0" borderId="12" xfId="4" applyFont="1" applyBorder="1" applyAlignment="1">
      <alignment horizontal="center" vertical="center" wrapText="1"/>
    </xf>
    <xf numFmtId="0" fontId="16" fillId="9" borderId="18" xfId="4" applyFont="1" applyFill="1" applyBorder="1" applyAlignment="1">
      <alignment vertical="center"/>
    </xf>
    <xf numFmtId="0" fontId="18" fillId="8" borderId="15" xfId="4" applyFont="1" applyFill="1" applyBorder="1" applyAlignment="1">
      <alignment horizontal="center" vertical="center" wrapText="1"/>
    </xf>
    <xf numFmtId="0" fontId="16" fillId="8" borderId="11" xfId="4" applyFont="1" applyFill="1" applyBorder="1" applyAlignment="1">
      <alignment horizontal="left" vertical="center" wrapText="1"/>
    </xf>
    <xf numFmtId="0" fontId="16" fillId="0" borderId="15" xfId="4" applyFont="1" applyBorder="1" applyAlignment="1">
      <alignment vertical="center"/>
    </xf>
    <xf numFmtId="0" fontId="18" fillId="10" borderId="15" xfId="4" applyFont="1" applyFill="1" applyBorder="1" applyAlignment="1">
      <alignment horizontal="center" vertical="center" wrapText="1"/>
    </xf>
    <xf numFmtId="0" fontId="16" fillId="8" borderId="4" xfId="4" applyFont="1" applyFill="1" applyBorder="1" applyAlignment="1">
      <alignment horizontal="left" vertical="center" wrapText="1"/>
    </xf>
    <xf numFmtId="0" fontId="16" fillId="11" borderId="15" xfId="4" applyFont="1" applyFill="1" applyBorder="1" applyAlignment="1">
      <alignment vertical="center"/>
    </xf>
    <xf numFmtId="0" fontId="18" fillId="12" borderId="15" xfId="4" applyFont="1" applyFill="1" applyBorder="1" applyAlignment="1">
      <alignment horizontal="center" vertical="center" wrapText="1"/>
    </xf>
    <xf numFmtId="0" fontId="16" fillId="8" borderId="5" xfId="4" applyFont="1" applyFill="1" applyBorder="1" applyAlignment="1">
      <alignment horizontal="left" vertical="center" wrapText="1"/>
    </xf>
    <xf numFmtId="0" fontId="16" fillId="13" borderId="16" xfId="4" applyFont="1" applyFill="1" applyBorder="1" applyAlignment="1">
      <alignment vertical="center"/>
    </xf>
    <xf numFmtId="0" fontId="18" fillId="14" borderId="15" xfId="4" applyFont="1" applyFill="1" applyBorder="1" applyAlignment="1">
      <alignment horizontal="center" vertical="center" wrapText="1"/>
    </xf>
    <xf numFmtId="0" fontId="18" fillId="15" borderId="15" xfId="4" applyFont="1" applyFill="1" applyBorder="1" applyAlignment="1">
      <alignment horizontal="center" vertical="center" wrapText="1"/>
    </xf>
    <xf numFmtId="0" fontId="18" fillId="16" borderId="15" xfId="4" applyFont="1" applyFill="1" applyBorder="1" applyAlignment="1">
      <alignment horizontal="center" vertical="center" wrapText="1"/>
    </xf>
    <xf numFmtId="0" fontId="16" fillId="10" borderId="21" xfId="4" applyFont="1" applyFill="1" applyBorder="1" applyAlignment="1">
      <alignment horizontal="left" vertical="center" wrapText="1"/>
    </xf>
    <xf numFmtId="0" fontId="18" fillId="17" borderId="16" xfId="4" applyFont="1" applyFill="1" applyBorder="1" applyAlignment="1">
      <alignment horizontal="center" vertical="center" wrapText="1"/>
    </xf>
    <xf numFmtId="0" fontId="18" fillId="0" borderId="0" xfId="4" applyFont="1" applyAlignment="1">
      <alignment horizontal="center" vertical="center" wrapText="1"/>
    </xf>
    <xf numFmtId="0" fontId="16" fillId="10" borderId="5" xfId="4" applyFont="1" applyFill="1" applyBorder="1" applyAlignment="1">
      <alignment horizontal="left" vertical="center" wrapText="1"/>
    </xf>
    <xf numFmtId="0" fontId="16" fillId="10" borderId="15" xfId="4" applyFont="1" applyFill="1" applyBorder="1" applyAlignment="1">
      <alignment horizontal="left" vertical="center" wrapText="1"/>
    </xf>
    <xf numFmtId="0" fontId="16" fillId="12" borderId="18" xfId="4" applyFont="1" applyFill="1" applyBorder="1" applyAlignment="1">
      <alignment horizontal="left" vertical="center" wrapText="1"/>
    </xf>
    <xf numFmtId="0" fontId="16" fillId="14" borderId="19" xfId="4" applyFont="1" applyFill="1" applyBorder="1" applyAlignment="1">
      <alignment horizontal="left" vertical="center" wrapText="1"/>
    </xf>
    <xf numFmtId="0" fontId="16" fillId="0" borderId="0" xfId="4" applyFont="1" applyAlignment="1">
      <alignment horizontal="center" vertical="center" wrapText="1"/>
    </xf>
    <xf numFmtId="0" fontId="16" fillId="15" borderId="15" xfId="4" applyFont="1" applyFill="1" applyBorder="1" applyAlignment="1">
      <alignment horizontal="left" vertical="center" wrapText="1"/>
    </xf>
    <xf numFmtId="0" fontId="16" fillId="16" borderId="15" xfId="4" applyFont="1" applyFill="1" applyBorder="1" applyAlignment="1">
      <alignment horizontal="left" vertical="center" wrapText="1"/>
    </xf>
    <xf numFmtId="0" fontId="16" fillId="17" borderId="15" xfId="4" applyFont="1" applyFill="1" applyBorder="1" applyAlignment="1">
      <alignment horizontal="left" vertical="center" wrapText="1"/>
    </xf>
    <xf numFmtId="0" fontId="15" fillId="0" borderId="0" xfId="4"/>
    <xf numFmtId="0" fontId="16" fillId="8" borderId="21" xfId="4" applyFont="1" applyFill="1" applyBorder="1" applyAlignment="1">
      <alignment horizontal="left" vertical="center" wrapText="1"/>
    </xf>
    <xf numFmtId="0" fontId="16" fillId="0" borderId="0" xfId="4" applyFont="1" applyAlignment="1">
      <alignment horizontal="center" vertical="center"/>
    </xf>
    <xf numFmtId="0" fontId="8" fillId="0" borderId="0" xfId="0" applyFont="1" applyProtection="1">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3" borderId="0" xfId="0" applyFont="1" applyFill="1" applyAlignment="1" applyProtection="1">
      <alignment vertical="center" wrapText="1"/>
      <protection locked="0"/>
    </xf>
    <xf numFmtId="0" fontId="8" fillId="3" borderId="0" xfId="0" applyFont="1" applyFill="1" applyAlignment="1" applyProtection="1">
      <alignment wrapText="1"/>
      <protection locked="0"/>
    </xf>
    <xf numFmtId="0" fontId="5" fillId="0" borderId="0" xfId="0" applyFont="1" applyProtection="1">
      <protection locked="0"/>
    </xf>
    <xf numFmtId="0" fontId="21" fillId="18" borderId="22" xfId="2" applyFont="1" applyFill="1" applyBorder="1" applyAlignment="1">
      <alignment vertical="center" wrapText="1"/>
    </xf>
    <xf numFmtId="0" fontId="4" fillId="19"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8" fillId="21" borderId="12" xfId="4" applyFont="1" applyFill="1" applyBorder="1" applyAlignment="1">
      <alignment horizontal="center" vertical="center"/>
    </xf>
    <xf numFmtId="0" fontId="16" fillId="22" borderId="18" xfId="4" applyFont="1" applyFill="1" applyBorder="1" applyAlignment="1">
      <alignment vertical="center" wrapText="1"/>
    </xf>
    <xf numFmtId="0" fontId="16" fillId="22" borderId="15" xfId="4" applyFont="1" applyFill="1" applyBorder="1" applyAlignment="1">
      <alignment vertical="center" wrapText="1"/>
    </xf>
    <xf numFmtId="0" fontId="16" fillId="2" borderId="15" xfId="4" applyFont="1" applyFill="1" applyBorder="1" applyAlignment="1">
      <alignment vertical="center" wrapText="1"/>
    </xf>
    <xf numFmtId="0" fontId="16" fillId="2" borderId="17" xfId="4" applyFont="1" applyFill="1" applyBorder="1" applyAlignment="1">
      <alignment vertical="center" wrapText="1"/>
    </xf>
    <xf numFmtId="0" fontId="16" fillId="23" borderId="15" xfId="4" applyFont="1" applyFill="1" applyBorder="1" applyAlignment="1">
      <alignment vertical="center" wrapText="1"/>
    </xf>
    <xf numFmtId="0" fontId="16" fillId="24" borderId="16" xfId="4" applyFont="1" applyFill="1" applyBorder="1" applyAlignment="1">
      <alignment vertical="center" wrapText="1"/>
    </xf>
    <xf numFmtId="0" fontId="8" fillId="0" borderId="0" xfId="0" applyFont="1" applyAlignment="1" applyProtection="1">
      <alignment wrapText="1"/>
      <protection locked="0"/>
    </xf>
    <xf numFmtId="0" fontId="8" fillId="0" borderId="0" xfId="0" applyFont="1" applyAlignment="1" applyProtection="1">
      <alignment horizontal="center"/>
      <protection locked="0"/>
    </xf>
    <xf numFmtId="0" fontId="10" fillId="3" borderId="0" xfId="0" applyFont="1" applyFill="1" applyAlignment="1" applyProtection="1">
      <alignment horizontal="left"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14" xfId="0" applyFont="1" applyBorder="1" applyProtection="1">
      <protection locked="0"/>
    </xf>
    <xf numFmtId="0" fontId="5" fillId="0" borderId="1" xfId="0" applyFont="1" applyBorder="1" applyProtection="1">
      <protection locked="0"/>
    </xf>
    <xf numFmtId="0" fontId="8" fillId="3" borderId="0" xfId="0" applyFont="1" applyFill="1" applyProtection="1">
      <protection locked="0"/>
    </xf>
    <xf numFmtId="0" fontId="19" fillId="2" borderId="0" xfId="0" applyFont="1" applyFill="1" applyAlignment="1" applyProtection="1">
      <alignment horizontal="center" vertical="center" wrapText="1"/>
      <protection locked="0"/>
    </xf>
    <xf numFmtId="0" fontId="5" fillId="0" borderId="0" xfId="0" applyFont="1" applyAlignment="1" applyProtection="1">
      <alignment wrapText="1"/>
      <protection locked="0"/>
    </xf>
    <xf numFmtId="0" fontId="12" fillId="20" borderId="23" xfId="2" applyFont="1" applyFill="1" applyBorder="1" applyAlignment="1" applyProtection="1">
      <alignment horizontal="center" vertical="center" wrapText="1"/>
      <protection locked="0"/>
    </xf>
    <xf numFmtId="0" fontId="24" fillId="25" borderId="23" xfId="2" applyFont="1" applyFill="1" applyBorder="1" applyAlignment="1" applyProtection="1">
      <alignment horizontal="center" vertical="center" wrapText="1"/>
      <protection locked="0"/>
    </xf>
    <xf numFmtId="0" fontId="23" fillId="0" borderId="23" xfId="0" applyFont="1" applyBorder="1" applyAlignment="1" applyProtection="1">
      <alignment vertical="center" wrapText="1"/>
      <protection locked="0"/>
    </xf>
    <xf numFmtId="1" fontId="20" fillId="2" borderId="23" xfId="1" applyNumberFormat="1" applyFont="1" applyFill="1" applyBorder="1" applyAlignment="1" applyProtection="1">
      <alignment vertical="top" wrapText="1"/>
      <protection locked="0"/>
    </xf>
    <xf numFmtId="0" fontId="19" fillId="2" borderId="23" xfId="0" applyFont="1" applyFill="1" applyBorder="1" applyAlignment="1" applyProtection="1">
      <alignment horizontal="center" vertical="center"/>
      <protection locked="0"/>
    </xf>
    <xf numFmtId="0" fontId="19" fillId="2" borderId="23" xfId="0" applyFont="1" applyFill="1" applyBorder="1" applyAlignment="1" applyProtection="1">
      <alignment horizontal="center" vertical="center" wrapText="1"/>
      <protection locked="0"/>
    </xf>
    <xf numFmtId="0" fontId="19" fillId="2" borderId="23" xfId="0" applyFont="1" applyFill="1" applyBorder="1" applyAlignment="1" applyProtection="1">
      <alignment vertical="center" wrapText="1"/>
      <protection locked="0"/>
    </xf>
    <xf numFmtId="15" fontId="19" fillId="2" borderId="23" xfId="0" applyNumberFormat="1" applyFont="1" applyFill="1" applyBorder="1" applyAlignment="1" applyProtection="1">
      <alignment vertical="center" wrapText="1"/>
      <protection locked="0"/>
    </xf>
    <xf numFmtId="0" fontId="20" fillId="0" borderId="23" xfId="0" applyFont="1" applyBorder="1" applyAlignment="1" applyProtection="1">
      <alignment horizontal="center" vertical="center" wrapText="1"/>
      <protection hidden="1"/>
    </xf>
    <xf numFmtId="0" fontId="16" fillId="0" borderId="1" xfId="4" applyFont="1" applyBorder="1" applyAlignment="1">
      <alignment horizontal="center" vertical="top" wrapText="1"/>
    </xf>
    <xf numFmtId="0" fontId="16" fillId="0" borderId="1" xfId="4" applyFont="1" applyBorder="1" applyAlignment="1">
      <alignment horizontal="left" vertical="top" wrapText="1"/>
    </xf>
    <xf numFmtId="0" fontId="27" fillId="7" borderId="1" xfId="4" applyFont="1" applyFill="1" applyBorder="1" applyAlignment="1">
      <alignment horizontal="justify" vertical="top" wrapText="1"/>
    </xf>
    <xf numFmtId="0" fontId="16" fillId="7" borderId="1" xfId="4" applyFont="1" applyFill="1" applyBorder="1" applyAlignment="1">
      <alignment horizontal="left" vertical="top" wrapText="1"/>
    </xf>
    <xf numFmtId="0" fontId="18" fillId="7" borderId="1" xfId="4" applyFont="1" applyFill="1" applyBorder="1" applyAlignment="1">
      <alignment horizontal="justify" vertical="top" wrapText="1"/>
    </xf>
    <xf numFmtId="0" fontId="28" fillId="7" borderId="1" xfId="4" applyFont="1" applyFill="1" applyBorder="1" applyAlignment="1">
      <alignment horizontal="justify" vertical="top" wrapText="1"/>
    </xf>
    <xf numFmtId="0" fontId="16" fillId="0" borderId="1" xfId="4" applyFont="1" applyBorder="1" applyAlignment="1">
      <alignment horizontal="justify" vertical="top" wrapText="1"/>
    </xf>
    <xf numFmtId="0" fontId="28" fillId="0" borderId="1" xfId="4" applyFont="1" applyBorder="1" applyAlignment="1">
      <alignment horizontal="left" vertical="top" wrapText="1"/>
    </xf>
    <xf numFmtId="0" fontId="26" fillId="2" borderId="18" xfId="0" applyFont="1" applyFill="1" applyBorder="1" applyAlignment="1">
      <alignment vertical="top" wrapText="1"/>
    </xf>
    <xf numFmtId="0" fontId="26" fillId="2" borderId="15" xfId="0" applyFont="1" applyFill="1" applyBorder="1" applyAlignment="1">
      <alignment vertical="top" wrapText="1"/>
    </xf>
    <xf numFmtId="0" fontId="26" fillId="2" borderId="16" xfId="0" applyFont="1" applyFill="1" applyBorder="1" applyAlignment="1">
      <alignment vertical="top" wrapText="1"/>
    </xf>
    <xf numFmtId="0" fontId="9" fillId="22" borderId="18" xfId="4" applyFont="1" applyFill="1" applyBorder="1" applyAlignment="1">
      <alignment horizontal="left" vertical="top" wrapText="1"/>
    </xf>
    <xf numFmtId="0" fontId="9" fillId="22" borderId="15" xfId="4" applyFont="1" applyFill="1" applyBorder="1" applyAlignment="1">
      <alignment horizontal="left" vertical="top" wrapText="1"/>
    </xf>
    <xf numFmtId="0" fontId="9" fillId="2" borderId="15" xfId="4" applyFont="1" applyFill="1" applyBorder="1" applyAlignment="1">
      <alignment horizontal="left" vertical="top" wrapText="1"/>
    </xf>
    <xf numFmtId="0" fontId="9" fillId="23" borderId="15" xfId="4" applyFont="1" applyFill="1" applyBorder="1" applyAlignment="1">
      <alignment horizontal="left" vertical="top" wrapText="1"/>
    </xf>
    <xf numFmtId="0" fontId="9" fillId="24" borderId="15" xfId="4" applyFont="1" applyFill="1" applyBorder="1" applyAlignment="1">
      <alignment horizontal="left" vertical="top" wrapText="1"/>
    </xf>
    <xf numFmtId="0" fontId="9" fillId="0" borderId="15" xfId="4" applyFont="1" applyBorder="1" applyAlignment="1">
      <alignment horizontal="left" vertical="top"/>
    </xf>
    <xf numFmtId="0" fontId="0" fillId="0" borderId="15" xfId="0" applyBorder="1" applyAlignment="1">
      <alignment horizontal="left" vertical="top"/>
    </xf>
    <xf numFmtId="0" fontId="9" fillId="23" borderId="16" xfId="4" applyFont="1" applyFill="1" applyBorder="1" applyAlignment="1">
      <alignment horizontal="left" vertical="top" wrapText="1"/>
    </xf>
    <xf numFmtId="1" fontId="20" fillId="2" borderId="23" xfId="1" applyNumberFormat="1" applyFont="1" applyFill="1" applyBorder="1" applyAlignment="1" applyProtection="1">
      <alignment horizontal="center" vertical="center" wrapText="1"/>
      <protection locked="0"/>
    </xf>
    <xf numFmtId="0" fontId="23" fillId="0" borderId="26" xfId="0" applyFont="1" applyBorder="1" applyAlignment="1">
      <alignment horizontal="left" vertical="center" wrapText="1"/>
    </xf>
    <xf numFmtId="1" fontId="19" fillId="26" borderId="26" xfId="0" applyNumberFormat="1" applyFont="1" applyFill="1" applyBorder="1" applyAlignment="1">
      <alignment horizontal="left" vertical="center" wrapText="1"/>
    </xf>
    <xf numFmtId="0" fontId="19" fillId="26" borderId="26" xfId="0" applyFont="1" applyFill="1" applyBorder="1" applyAlignment="1">
      <alignment horizontal="left" vertical="center" wrapText="1"/>
    </xf>
    <xf numFmtId="0" fontId="19" fillId="0" borderId="26" xfId="0" applyFont="1" applyBorder="1" applyAlignment="1">
      <alignment horizontal="left" vertical="center" wrapText="1"/>
    </xf>
    <xf numFmtId="0" fontId="23" fillId="0" borderId="0" xfId="0" applyFont="1" applyAlignment="1">
      <alignment vertical="center" wrapText="1"/>
    </xf>
    <xf numFmtId="1" fontId="23" fillId="26" borderId="26" xfId="0" applyNumberFormat="1" applyFont="1" applyFill="1" applyBorder="1" applyAlignment="1">
      <alignment horizontal="left" vertical="center" wrapText="1"/>
    </xf>
    <xf numFmtId="0" fontId="23" fillId="0" borderId="23"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1" fontId="20" fillId="0" borderId="23" xfId="1" applyNumberFormat="1" applyFont="1" applyFill="1" applyBorder="1" applyAlignment="1" applyProtection="1">
      <alignment horizontal="center" vertical="center" wrapText="1"/>
      <protection locked="0"/>
    </xf>
    <xf numFmtId="0" fontId="20" fillId="0" borderId="23" xfId="0" applyFont="1" applyBorder="1" applyAlignment="1" applyProtection="1">
      <alignment vertical="center" wrapText="1"/>
      <protection locked="0"/>
    </xf>
    <xf numFmtId="1" fontId="20" fillId="2" borderId="23" xfId="1" applyNumberFormat="1" applyFont="1" applyFill="1" applyBorder="1" applyAlignment="1" applyProtection="1">
      <alignment vertical="center" wrapText="1"/>
      <protection locked="0"/>
    </xf>
    <xf numFmtId="0" fontId="19" fillId="0" borderId="23" xfId="0" applyFont="1" applyBorder="1" applyAlignment="1" applyProtection="1">
      <alignment horizontal="center" vertical="center" wrapText="1"/>
      <protection hidden="1"/>
    </xf>
    <xf numFmtId="0" fontId="19" fillId="0" borderId="23" xfId="0" applyFont="1" applyBorder="1" applyAlignment="1" applyProtection="1">
      <alignment horizontal="center" vertical="center"/>
      <protection locked="0"/>
    </xf>
    <xf numFmtId="15" fontId="19" fillId="0" borderId="23" xfId="0" applyNumberFormat="1"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1" fontId="20" fillId="2" borderId="23" xfId="1" applyNumberFormat="1" applyFont="1" applyFill="1" applyBorder="1" applyAlignment="1" applyProtection="1">
      <alignment horizontal="center" vertical="top" wrapText="1"/>
      <protection locked="0"/>
    </xf>
    <xf numFmtId="0" fontId="23" fillId="0" borderId="26" xfId="0" applyFont="1" applyBorder="1" applyAlignment="1">
      <alignment vertical="center" wrapText="1"/>
    </xf>
    <xf numFmtId="1" fontId="19" fillId="26" borderId="26" xfId="0" applyNumberFormat="1" applyFont="1" applyFill="1" applyBorder="1" applyAlignment="1">
      <alignment vertical="top" wrapText="1"/>
    </xf>
    <xf numFmtId="0" fontId="19" fillId="26" borderId="26" xfId="0" applyFont="1" applyFill="1" applyBorder="1" applyAlignment="1">
      <alignment horizontal="center" vertical="center"/>
    </xf>
    <xf numFmtId="1" fontId="19" fillId="26" borderId="26" xfId="0" applyNumberFormat="1" applyFont="1" applyFill="1" applyBorder="1" applyAlignment="1">
      <alignment horizontal="center" vertical="center" wrapText="1"/>
    </xf>
    <xf numFmtId="0" fontId="19" fillId="26" borderId="26" xfId="0" applyFont="1" applyFill="1" applyBorder="1" applyAlignment="1">
      <alignment horizontal="center" vertical="center" wrapText="1"/>
    </xf>
    <xf numFmtId="0" fontId="32" fillId="26" borderId="26" xfId="0" applyFont="1" applyFill="1" applyBorder="1" applyAlignment="1">
      <alignment horizontal="center" vertical="center" wrapText="1"/>
    </xf>
    <xf numFmtId="0" fontId="19" fillId="26" borderId="26" xfId="0" applyFont="1" applyFill="1" applyBorder="1" applyAlignment="1">
      <alignment vertical="center" wrapText="1"/>
    </xf>
    <xf numFmtId="0" fontId="19" fillId="0" borderId="26" xfId="0" applyFont="1" applyBorder="1" applyAlignment="1">
      <alignment horizontal="center" vertical="center" wrapText="1"/>
    </xf>
    <xf numFmtId="1" fontId="19" fillId="26" borderId="26" xfId="0" applyNumberFormat="1" applyFont="1" applyFill="1" applyBorder="1" applyAlignment="1">
      <alignment horizontal="center" vertical="top" wrapText="1"/>
    </xf>
    <xf numFmtId="0" fontId="19" fillId="0" borderId="0" xfId="0" applyFont="1" applyAlignment="1">
      <alignment vertical="top" wrapText="1"/>
    </xf>
    <xf numFmtId="0" fontId="34" fillId="0" borderId="0" xfId="0" applyFont="1" applyAlignment="1">
      <alignment horizontal="center" vertical="center"/>
    </xf>
    <xf numFmtId="1" fontId="19" fillId="0" borderId="26" xfId="0" applyNumberFormat="1" applyFont="1" applyBorder="1" applyAlignment="1">
      <alignment vertical="top" wrapText="1"/>
    </xf>
    <xf numFmtId="0" fontId="19" fillId="0" borderId="26" xfId="0" applyFont="1" applyBorder="1" applyAlignment="1">
      <alignment vertical="center" wrapText="1"/>
    </xf>
    <xf numFmtId="0" fontId="19" fillId="0" borderId="26" xfId="0" applyFont="1" applyBorder="1" applyAlignment="1">
      <alignment horizontal="center" vertical="center"/>
    </xf>
    <xf numFmtId="1" fontId="19" fillId="26" borderId="26" xfId="0" applyNumberFormat="1" applyFont="1" applyFill="1" applyBorder="1" applyAlignment="1">
      <alignment vertical="center" wrapText="1"/>
    </xf>
    <xf numFmtId="0" fontId="23" fillId="2" borderId="23" xfId="0" applyFont="1" applyFill="1" applyBorder="1" applyAlignment="1" applyProtection="1">
      <alignment vertical="center" wrapText="1"/>
      <protection locked="0"/>
    </xf>
    <xf numFmtId="1" fontId="19" fillId="0" borderId="23" xfId="1" applyNumberFormat="1" applyFont="1" applyFill="1" applyBorder="1" applyAlignment="1" applyProtection="1">
      <alignment vertical="center" wrapText="1"/>
      <protection locked="0"/>
    </xf>
    <xf numFmtId="1" fontId="20" fillId="2" borderId="25" xfId="1" applyNumberFormat="1" applyFont="1" applyFill="1" applyBorder="1" applyAlignment="1" applyProtection="1">
      <alignment vertical="center" wrapText="1"/>
      <protection locked="0"/>
    </xf>
    <xf numFmtId="0" fontId="19" fillId="2" borderId="0" xfId="0" applyFont="1" applyFill="1" applyAlignment="1" applyProtection="1">
      <alignment vertical="center" wrapText="1"/>
      <protection locked="0"/>
    </xf>
    <xf numFmtId="0" fontId="19" fillId="2" borderId="23" xfId="0" applyFont="1" applyFill="1" applyBorder="1" applyAlignment="1" applyProtection="1">
      <alignment horizontal="center" vertical="center" wrapText="1"/>
      <protection hidden="1"/>
    </xf>
    <xf numFmtId="1" fontId="20" fillId="2" borderId="23" xfId="1" applyNumberFormat="1" applyFont="1" applyFill="1" applyBorder="1" applyAlignment="1" applyProtection="1">
      <alignment horizontal="left" vertical="center" wrapText="1"/>
      <protection locked="0"/>
    </xf>
    <xf numFmtId="15" fontId="19" fillId="2" borderId="23" xfId="0" applyNumberFormat="1" applyFont="1" applyFill="1" applyBorder="1" applyAlignment="1" applyProtection="1">
      <alignment horizontal="center" vertical="center" wrapText="1"/>
      <protection locked="0"/>
    </xf>
    <xf numFmtId="1" fontId="20" fillId="0" borderId="25" xfId="1" applyNumberFormat="1" applyFont="1" applyFill="1" applyBorder="1" applyAlignment="1" applyProtection="1">
      <alignment vertical="center" wrapText="1"/>
      <protection locked="0"/>
    </xf>
    <xf numFmtId="1" fontId="20" fillId="0" borderId="23" xfId="1" applyNumberFormat="1" applyFont="1" applyFill="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2" borderId="23" xfId="0" applyFont="1" applyFill="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20" fillId="2" borderId="23" xfId="0" applyFont="1" applyFill="1" applyBorder="1" applyAlignment="1" applyProtection="1">
      <alignment horizontal="center" vertical="center" wrapText="1"/>
      <protection hidden="1"/>
    </xf>
    <xf numFmtId="1" fontId="20" fillId="0" borderId="23" xfId="1" applyNumberFormat="1" applyFont="1" applyFill="1" applyBorder="1" applyAlignment="1" applyProtection="1">
      <alignment horizontal="left" vertical="center" wrapText="1"/>
      <protection locked="0"/>
    </xf>
    <xf numFmtId="0" fontId="20" fillId="2" borderId="23" xfId="0" applyFont="1" applyFill="1" applyBorder="1" applyAlignment="1" applyProtection="1">
      <alignment horizontal="center" vertical="center" wrapText="1"/>
      <protection locked="0"/>
    </xf>
    <xf numFmtId="0" fontId="20" fillId="0" borderId="23" xfId="0" applyFont="1" applyBorder="1" applyAlignment="1" applyProtection="1">
      <alignment vertical="center" wrapText="1"/>
      <protection hidden="1"/>
    </xf>
    <xf numFmtId="0" fontId="20" fillId="2" borderId="23" xfId="0" applyFont="1" applyFill="1" applyBorder="1" applyAlignment="1" applyProtection="1">
      <alignment horizontal="center" vertical="center"/>
      <protection locked="0"/>
    </xf>
    <xf numFmtId="0" fontId="20" fillId="2" borderId="0" xfId="0" applyFont="1" applyFill="1" applyAlignment="1" applyProtection="1">
      <alignment vertical="center" wrapText="1"/>
      <protection locked="0"/>
    </xf>
    <xf numFmtId="0" fontId="20" fillId="0" borderId="23" xfId="0" applyFont="1" applyBorder="1" applyAlignment="1" applyProtection="1">
      <alignment horizontal="center" vertical="center"/>
      <protection locked="0"/>
    </xf>
    <xf numFmtId="0" fontId="23" fillId="0" borderId="26" xfId="0" applyFont="1" applyBorder="1" applyAlignment="1">
      <alignment horizontal="center" vertical="center" wrapText="1"/>
    </xf>
    <xf numFmtId="0" fontId="23" fillId="0" borderId="25" xfId="0" applyFont="1" applyBorder="1" applyAlignment="1" applyProtection="1">
      <alignment horizontal="center" vertical="center" wrapText="1"/>
      <protection locked="0"/>
    </xf>
    <xf numFmtId="0" fontId="23" fillId="2" borderId="23"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1" fontId="20" fillId="2" borderId="25" xfId="1" applyNumberFormat="1" applyFont="1" applyFill="1" applyBorder="1" applyAlignment="1" applyProtection="1">
      <alignment horizontal="center" vertical="center" wrapText="1"/>
      <protection locked="0"/>
    </xf>
    <xf numFmtId="1" fontId="20" fillId="0" borderId="25" xfId="1" applyNumberFormat="1"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15" fontId="19" fillId="26" borderId="26" xfId="0" applyNumberFormat="1" applyFont="1" applyFill="1" applyBorder="1" applyAlignment="1">
      <alignment horizontal="center" vertical="center" wrapText="1"/>
    </xf>
    <xf numFmtId="15" fontId="19" fillId="0" borderId="26" xfId="0" applyNumberFormat="1" applyFont="1" applyBorder="1" applyAlignment="1">
      <alignment horizontal="center" vertical="center" wrapText="1"/>
    </xf>
    <xf numFmtId="15" fontId="20" fillId="2" borderId="23"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20" fillId="26" borderId="26" xfId="0" applyFont="1" applyFill="1" applyBorder="1" applyAlignment="1">
      <alignment horizontal="left" vertical="center" wrapText="1"/>
    </xf>
    <xf numFmtId="0" fontId="20" fillId="26" borderId="26" xfId="0" applyFont="1" applyFill="1" applyBorder="1" applyAlignment="1">
      <alignment vertical="center" wrapText="1"/>
    </xf>
    <xf numFmtId="0" fontId="20" fillId="0" borderId="26" xfId="0" applyFont="1" applyBorder="1" applyAlignment="1">
      <alignment vertical="center" wrapText="1"/>
    </xf>
    <xf numFmtId="0" fontId="4" fillId="0" borderId="0" xfId="0" applyFont="1" applyAlignment="1" applyProtection="1">
      <alignment horizontal="center"/>
      <protection locked="0"/>
    </xf>
    <xf numFmtId="15" fontId="20" fillId="2" borderId="23" xfId="0" applyNumberFormat="1" applyFont="1" applyFill="1" applyBorder="1" applyAlignment="1" applyProtection="1">
      <alignment horizontal="center" vertical="center"/>
      <protection locked="0"/>
    </xf>
    <xf numFmtId="15" fontId="20" fillId="0" borderId="23" xfId="0" applyNumberFormat="1" applyFont="1" applyBorder="1" applyAlignment="1" applyProtection="1">
      <alignment horizontal="center" vertical="center"/>
      <protection locked="0"/>
    </xf>
    <xf numFmtId="0" fontId="20" fillId="26" borderId="26" xfId="0" applyFont="1" applyFill="1" applyBorder="1" applyAlignment="1">
      <alignment horizontal="center" vertical="center"/>
    </xf>
    <xf numFmtId="15" fontId="20" fillId="26" borderId="26" xfId="0" applyNumberFormat="1" applyFont="1" applyFill="1" applyBorder="1" applyAlignment="1">
      <alignment horizontal="center" vertical="center"/>
    </xf>
    <xf numFmtId="0" fontId="20" fillId="26" borderId="26" xfId="0" applyFont="1" applyFill="1" applyBorder="1" applyAlignment="1">
      <alignment horizontal="center" vertical="center" wrapText="1"/>
    </xf>
    <xf numFmtId="0" fontId="20" fillId="7" borderId="23" xfId="0" applyFont="1" applyFill="1" applyBorder="1" applyAlignment="1" applyProtection="1">
      <alignment horizontal="center" vertical="center"/>
      <protection locked="0"/>
    </xf>
    <xf numFmtId="164" fontId="20" fillId="7" borderId="23" xfId="0" applyNumberFormat="1" applyFont="1" applyFill="1" applyBorder="1" applyAlignment="1" applyProtection="1">
      <alignment horizontal="center" vertical="center"/>
      <protection locked="0"/>
    </xf>
    <xf numFmtId="0" fontId="20" fillId="7" borderId="23" xfId="0" applyFont="1" applyFill="1" applyBorder="1" applyAlignment="1" applyProtection="1">
      <alignment horizontal="center" vertical="center" wrapText="1"/>
      <protection locked="0"/>
    </xf>
    <xf numFmtId="1" fontId="20" fillId="7" borderId="23" xfId="1" applyNumberFormat="1" applyFont="1" applyFill="1" applyBorder="1" applyAlignment="1" applyProtection="1">
      <alignment vertical="top" wrapText="1"/>
      <protection locked="0"/>
    </xf>
    <xf numFmtId="1" fontId="20" fillId="7" borderId="23" xfId="1" applyNumberFormat="1" applyFont="1" applyFill="1" applyBorder="1" applyAlignment="1" applyProtection="1">
      <alignment horizontal="center" vertical="top" wrapText="1"/>
      <protection locked="0"/>
    </xf>
    <xf numFmtId="164" fontId="20" fillId="7" borderId="23" xfId="0" applyNumberFormat="1" applyFont="1" applyFill="1" applyBorder="1" applyAlignment="1" applyProtection="1">
      <alignment horizontal="center" vertical="center" wrapText="1"/>
      <protection locked="0"/>
    </xf>
    <xf numFmtId="0" fontId="20" fillId="7" borderId="23" xfId="0" applyFont="1" applyFill="1" applyBorder="1" applyAlignment="1" applyProtection="1">
      <alignment vertical="center" wrapText="1"/>
      <protection locked="0"/>
    </xf>
    <xf numFmtId="0" fontId="20" fillId="7" borderId="23" xfId="0" applyFont="1" applyFill="1" applyBorder="1" applyAlignment="1" applyProtection="1">
      <alignment horizontal="center" vertical="center" wrapText="1"/>
      <protection hidden="1"/>
    </xf>
    <xf numFmtId="0" fontId="4" fillId="0" borderId="14" xfId="0" applyFont="1" applyBorder="1" applyProtection="1">
      <protection locked="0"/>
    </xf>
    <xf numFmtId="0" fontId="19" fillId="27" borderId="26" xfId="0" applyFont="1" applyFill="1" applyBorder="1" applyAlignment="1">
      <alignment horizontal="center" vertical="center" wrapText="1"/>
    </xf>
    <xf numFmtId="0" fontId="23" fillId="27" borderId="26" xfId="0" applyFont="1" applyFill="1" applyBorder="1" applyAlignment="1">
      <alignment horizontal="center" vertical="center" wrapText="1"/>
    </xf>
    <xf numFmtId="1" fontId="23" fillId="26" borderId="26" xfId="0" applyNumberFormat="1" applyFont="1" applyFill="1" applyBorder="1" applyAlignment="1">
      <alignment horizontal="center" vertical="center" wrapText="1"/>
    </xf>
    <xf numFmtId="0" fontId="23" fillId="0" borderId="27" xfId="0" applyFont="1" applyBorder="1" applyAlignment="1">
      <alignment vertical="center" wrapText="1"/>
    </xf>
    <xf numFmtId="1" fontId="19" fillId="26" borderId="27" xfId="0" applyNumberFormat="1" applyFont="1" applyFill="1" applyBorder="1" applyAlignment="1">
      <alignment vertical="center" wrapText="1"/>
    </xf>
    <xf numFmtId="0" fontId="19" fillId="0" borderId="27" xfId="0" applyFont="1" applyBorder="1" applyAlignment="1">
      <alignment vertical="center" wrapText="1"/>
    </xf>
    <xf numFmtId="0" fontId="32" fillId="26" borderId="27" xfId="0" applyFont="1" applyFill="1" applyBorder="1" applyAlignment="1">
      <alignment horizontal="center" vertical="center"/>
    </xf>
    <xf numFmtId="0" fontId="19" fillId="26" borderId="27" xfId="0" applyFont="1" applyFill="1" applyBorder="1" applyAlignment="1">
      <alignment horizontal="center" vertical="center"/>
    </xf>
    <xf numFmtId="1" fontId="19" fillId="27" borderId="27" xfId="0" applyNumberFormat="1" applyFont="1" applyFill="1" applyBorder="1" applyAlignment="1">
      <alignment horizontal="center" vertical="center" wrapText="1"/>
    </xf>
    <xf numFmtId="0" fontId="19" fillId="26" borderId="27" xfId="0" applyFont="1" applyFill="1" applyBorder="1" applyAlignment="1">
      <alignment horizontal="center" vertical="center" wrapText="1"/>
    </xf>
    <xf numFmtId="15" fontId="19" fillId="26" borderId="27" xfId="0" applyNumberFormat="1" applyFont="1" applyFill="1" applyBorder="1" applyAlignment="1">
      <alignment vertical="center" wrapText="1"/>
    </xf>
    <xf numFmtId="0" fontId="19" fillId="26" borderId="27" xfId="0" applyFont="1" applyFill="1" applyBorder="1" applyAlignment="1">
      <alignment vertical="center" wrapText="1"/>
    </xf>
    <xf numFmtId="0" fontId="19" fillId="0" borderId="27" xfId="0" applyFont="1" applyBorder="1" applyAlignment="1">
      <alignment horizontal="center" vertical="center" wrapText="1"/>
    </xf>
    <xf numFmtId="1" fontId="19" fillId="26" borderId="27" xfId="0" applyNumberFormat="1" applyFont="1" applyFill="1" applyBorder="1" applyAlignment="1">
      <alignment vertical="top" wrapText="1"/>
    </xf>
    <xf numFmtId="1" fontId="19" fillId="27" borderId="27" xfId="0" applyNumberFormat="1" applyFont="1" applyFill="1" applyBorder="1" applyAlignment="1">
      <alignment vertical="center" wrapText="1"/>
    </xf>
    <xf numFmtId="0" fontId="19" fillId="27" borderId="27" xfId="0" applyFont="1" applyFill="1" applyBorder="1" applyAlignment="1">
      <alignment horizontal="center" vertical="center" wrapText="1"/>
    </xf>
    <xf numFmtId="0" fontId="23" fillId="26" borderId="26" xfId="0" applyFont="1" applyFill="1" applyBorder="1" applyAlignment="1">
      <alignment horizontal="center" vertical="center" wrapText="1"/>
    </xf>
    <xf numFmtId="0" fontId="23" fillId="28" borderId="23" xfId="0" applyFont="1" applyFill="1" applyBorder="1" applyAlignment="1">
      <alignment horizontal="center" vertical="center" wrapText="1"/>
    </xf>
    <xf numFmtId="0" fontId="23" fillId="28" borderId="23" xfId="0" applyFont="1" applyFill="1" applyBorder="1" applyAlignment="1">
      <alignment vertical="center" wrapText="1"/>
    </xf>
    <xf numFmtId="0" fontId="23" fillId="28" borderId="28" xfId="0" applyFont="1" applyFill="1" applyBorder="1" applyAlignment="1">
      <alignment horizontal="center" vertical="center" wrapText="1"/>
    </xf>
    <xf numFmtId="0" fontId="23" fillId="28" borderId="28" xfId="0" applyFont="1" applyFill="1" applyBorder="1" applyAlignment="1">
      <alignment vertical="center" wrapText="1"/>
    </xf>
    <xf numFmtId="0" fontId="20" fillId="25" borderId="23" xfId="0" applyFont="1" applyFill="1" applyBorder="1" applyAlignment="1" applyProtection="1">
      <alignment horizontal="center" vertical="center" wrapText="1"/>
      <protection hidden="1"/>
    </xf>
    <xf numFmtId="1" fontId="35" fillId="2" borderId="23" xfId="5" applyNumberFormat="1" applyFill="1" applyBorder="1" applyAlignment="1" applyProtection="1">
      <alignment horizontal="center" vertical="center" wrapText="1"/>
      <protection locked="0"/>
    </xf>
    <xf numFmtId="0" fontId="22" fillId="30" borderId="23" xfId="0" applyFont="1" applyFill="1" applyBorder="1" applyAlignment="1" applyProtection="1">
      <alignment horizontal="center" vertical="center" wrapText="1"/>
      <protection locked="0"/>
    </xf>
    <xf numFmtId="0" fontId="21" fillId="30" borderId="24" xfId="0" applyFont="1" applyFill="1" applyBorder="1" applyAlignment="1" applyProtection="1">
      <alignment horizontal="center" vertical="center" wrapText="1"/>
      <protection locked="0"/>
    </xf>
    <xf numFmtId="0" fontId="12" fillId="30" borderId="23" xfId="2"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3" fillId="0" borderId="27" xfId="0" applyFont="1" applyBorder="1" applyAlignment="1">
      <alignment horizontal="center" vertical="center" wrapText="1"/>
    </xf>
    <xf numFmtId="0" fontId="8" fillId="0" borderId="0" xfId="0" applyFont="1" applyAlignment="1" applyProtection="1">
      <alignment horizontal="center" vertical="center"/>
      <protection locked="0"/>
    </xf>
    <xf numFmtId="1" fontId="19" fillId="26" borderId="27" xfId="0" applyNumberFormat="1" applyFont="1" applyFill="1" applyBorder="1" applyAlignment="1">
      <alignment horizontal="center" vertical="center" wrapText="1"/>
    </xf>
    <xf numFmtId="1" fontId="20" fillId="7" borderId="23" xfId="1"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1" fontId="19" fillId="2" borderId="23" xfId="1"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0" fillId="3" borderId="0" xfId="0" applyFont="1" applyFill="1" applyAlignment="1" applyProtection="1">
      <alignment horizontal="center" vertical="center" wrapText="1"/>
      <protection locked="0"/>
    </xf>
    <xf numFmtId="15" fontId="19" fillId="2" borderId="23" xfId="0" applyNumberFormat="1" applyFont="1" applyFill="1" applyBorder="1" applyAlignment="1" applyProtection="1">
      <alignment horizontal="center" vertical="center"/>
      <protection locked="0"/>
    </xf>
    <xf numFmtId="15" fontId="19" fillId="26" borderId="27" xfId="0" applyNumberFormat="1" applyFont="1" applyFill="1" applyBorder="1" applyAlignment="1">
      <alignment horizontal="center" vertical="center"/>
    </xf>
    <xf numFmtId="15" fontId="19" fillId="26" borderId="26" xfId="0" applyNumberFormat="1" applyFont="1" applyFill="1" applyBorder="1" applyAlignment="1">
      <alignment horizontal="center" vertical="center"/>
    </xf>
    <xf numFmtId="1" fontId="20" fillId="26" borderId="26" xfId="0" applyNumberFormat="1" applyFont="1" applyFill="1" applyBorder="1" applyAlignment="1">
      <alignment horizontal="center" vertical="center" wrapText="1"/>
    </xf>
    <xf numFmtId="0" fontId="33" fillId="0" borderId="0" xfId="0" applyFont="1" applyAlignment="1">
      <alignment horizontal="center" vertical="center" wrapText="1"/>
    </xf>
    <xf numFmtId="1" fontId="19" fillId="0" borderId="26" xfId="0" applyNumberFormat="1" applyFont="1" applyBorder="1" applyAlignment="1">
      <alignment horizontal="center" vertical="center" wrapText="1"/>
    </xf>
    <xf numFmtId="0" fontId="8" fillId="0" borderId="0" xfId="0" applyFont="1" applyProtection="1">
      <protection locked="0"/>
    </xf>
    <xf numFmtId="0" fontId="3" fillId="0" borderId="1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8" fillId="0" borderId="0" xfId="0" applyFont="1" applyAlignment="1" applyProtection="1">
      <alignment horizontal="center"/>
      <protection locked="0"/>
    </xf>
    <xf numFmtId="0" fontId="3" fillId="0" borderId="0" xfId="0" applyFont="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8" fillId="0" borderId="0" xfId="0" applyFont="1" applyAlignment="1" applyProtection="1">
      <alignment vertical="center"/>
      <protection locked="0"/>
    </xf>
    <xf numFmtId="0" fontId="8" fillId="3" borderId="0" xfId="0" applyFont="1" applyFill="1" applyProtection="1">
      <protection locked="0"/>
    </xf>
    <xf numFmtId="0" fontId="22" fillId="30" borderId="23" xfId="0" applyFont="1" applyFill="1" applyBorder="1" applyAlignment="1" applyProtection="1">
      <alignment horizontal="center" vertical="center"/>
      <protection locked="0"/>
    </xf>
    <xf numFmtId="0" fontId="12" fillId="30" borderId="23" xfId="0" applyFont="1" applyFill="1" applyBorder="1" applyAlignment="1" applyProtection="1">
      <alignment horizontal="center" vertical="center" wrapText="1"/>
      <protection locked="0"/>
    </xf>
    <xf numFmtId="0" fontId="10" fillId="0" borderId="0" xfId="0" applyFont="1" applyAlignment="1" applyProtection="1">
      <alignment vertical="center"/>
      <protection locked="0"/>
    </xf>
    <xf numFmtId="0" fontId="31" fillId="29" borderId="0" xfId="0" applyFont="1" applyFill="1" applyAlignment="1" applyProtection="1">
      <alignment horizontal="center" vertical="center" wrapText="1"/>
      <protection locked="0"/>
    </xf>
    <xf numFmtId="0" fontId="31" fillId="29" borderId="0" xfId="0" applyFont="1" applyFill="1" applyAlignment="1" applyProtection="1">
      <alignment horizontal="center" vertical="center"/>
      <protection locked="0"/>
    </xf>
    <xf numFmtId="0" fontId="3" fillId="0" borderId="8"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30" xfId="0" applyFont="1" applyBorder="1" applyAlignment="1" applyProtection="1">
      <alignment horizontal="center"/>
      <protection locked="0"/>
    </xf>
    <xf numFmtId="0" fontId="8" fillId="0" borderId="29" xfId="0" applyFont="1" applyBorder="1" applyAlignment="1" applyProtection="1">
      <alignment horizontal="center"/>
      <protection locked="0"/>
    </xf>
    <xf numFmtId="0" fontId="21" fillId="30" borderId="23" xfId="0" applyFont="1" applyFill="1" applyBorder="1" applyAlignment="1" applyProtection="1">
      <alignment horizontal="center" vertical="center" wrapText="1"/>
      <protection locked="0"/>
    </xf>
    <xf numFmtId="0" fontId="3" fillId="0" borderId="29" xfId="0" applyFont="1" applyBorder="1" applyAlignment="1" applyProtection="1">
      <alignment horizontal="left" vertical="top" wrapText="1"/>
      <protection locked="0"/>
    </xf>
    <xf numFmtId="0" fontId="14" fillId="6" borderId="20" xfId="3" applyFont="1" applyFill="1" applyBorder="1" applyAlignment="1" applyProtection="1">
      <alignment horizontal="center" vertical="center" wrapText="1"/>
    </xf>
    <xf numFmtId="0" fontId="14" fillId="6" borderId="1" xfId="3" applyFont="1" applyFill="1" applyBorder="1" applyAlignment="1" applyProtection="1">
      <alignment horizontal="center" vertical="center" wrapText="1"/>
    </xf>
    <xf numFmtId="0" fontId="14" fillId="6" borderId="20" xfId="4" applyFont="1" applyFill="1" applyBorder="1" applyAlignment="1">
      <alignment horizontal="center" vertical="center"/>
    </xf>
    <xf numFmtId="0" fontId="16" fillId="0" borderId="1" xfId="4" applyFont="1" applyBorder="1" applyAlignment="1">
      <alignment horizontal="center" vertical="center" wrapText="1"/>
    </xf>
    <xf numFmtId="0" fontId="16" fillId="0" borderId="1" xfId="4" applyFont="1" applyBorder="1" applyAlignment="1">
      <alignment horizontal="center" vertical="center"/>
    </xf>
    <xf numFmtId="0" fontId="18" fillId="0" borderId="12" xfId="4" applyFont="1" applyBorder="1" applyAlignment="1">
      <alignment horizontal="center" vertical="center"/>
    </xf>
    <xf numFmtId="0" fontId="18" fillId="0" borderId="12" xfId="4" applyFont="1" applyBorder="1" applyAlignment="1">
      <alignment horizontal="center" vertical="center" wrapText="1"/>
    </xf>
  </cellXfs>
  <cellStyles count="6">
    <cellStyle name="Énfasis6" xfId="2" builtinId="49"/>
    <cellStyle name="Hipervínculo" xfId="5" builtinId="8"/>
    <cellStyle name="Normal" xfId="0" builtinId="0"/>
    <cellStyle name="Normal 2" xfId="4" xr:uid="{00000000-0005-0000-0000-000003000000}"/>
    <cellStyle name="Porcentaje 2" xfId="1" xr:uid="{00000000-0005-0000-0000-000004000000}"/>
    <cellStyle name="Texto explicativo 2" xfId="3" xr:uid="{00000000-0005-0000-0000-000005000000}"/>
  </cellStyles>
  <dxfs count="1">
    <dxf>
      <font>
        <color rgb="FF9C0006"/>
      </font>
      <fill>
        <patternFill>
          <bgColor rgb="FFFFC7CE"/>
        </patternFill>
      </fill>
    </dxf>
  </dxfs>
  <tableStyles count="0" defaultTableStyle="TableStyleMedium2" defaultPivotStyle="PivotStyleLight16"/>
  <colors>
    <mruColors>
      <color rgb="FFCCCCFF"/>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2200219693%20%20MATRIZ%20INVENTARIO%20ACTIVOS%20DE%20INFORMACI&#211;N%202023%20VF%20-%20FOMEN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300304623%20%20MATRIZ%20INVENTARIO%20ACTIVOS%20DE%20INFORMACI&#211;N%202023%20VF%20Transformaciones%20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03053%20MATRIZ%20INVENTARIO%20ACTIVOS%20DE%20INFORMACI&#211;N%202023%20VF%20Arte%20Cultura%20y%20P.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sus/OneDrive/Escritorio/YFGG/SCRD/SCRD%202023/Activos%20de%20Informacion/2023/VF_SGCA_Matriz%20de%20Activos%20de%20Informacion%2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03063%20%20MATRIZ%20INVENTARIO%20ACTIVOS%20DE%20INFORMACI&#211;N%202023%20VF%20Infraestrctura%20y%20P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3100311083%20%20MATRIZ%20INVENTARIO%20ACTIVOS%20DE%20INFORMACI&#211;N%202023%20VF%20G.%20Cultural%20y%20Artist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20231100338343%20MATRIZ%20INVENTARIO%20ACTIVOS%20DE%20INFORMACI&#211;N%202023%20VF%20Of.%20Jur&#237;dic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20232300338453%20MATRIZ%20INVENTARIO%20ACTIVOS%20DE%20INFORMACI&#211;N%202023%20VF%20Personas%20Jur&#237;dica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Matriz%20de%20Activos%20de%20Informaci&#243;n%202023%20SCRD_Despach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100340673%20%20MATRIZ%20INVENTARIO%20ACTIVOS%20DE%20INFORMACI&#211;N%202023%20VF%20Observatorio%20y%20Gest.%20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I/20239000301563%20MATRIZ%20INVENTARIO%20ACTIVOS%20DE%20INFORMACI&#211;N%202023%20VF%20Cultura%20Ciudadana%20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2100222703%20%20MATRIZ%20INVENTARIO%20ACTIVOS%20DE%20INFORMACI&#211;N%202023%20VF%20Asuntos%20Locales%20Y%20Participaci&#243;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V/Matriz%20de%20Activos%20de%20Informaci&#243;n%202023%20SCRD%20OT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Downloads/20237100515373_00002%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7000215993%20%20MATRIZ%20INVENTARIO%20ACTIVOS%20DE%20INFORMACI&#211;N%202023%20VF%20-%20OCI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8000225593%20MATRIZ%20INVENTARIO%20ACTIVOS%20DE%20INFORMACI&#211;N%202023%20VF%20Direcci&#243;n%20De%20Bibliotecas%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1200216143%20%20MATRIZ%20INVENTARIO%20ACTIVOS%20DE%20INFORMACI&#211;N%202023%20VF%20Comunic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20231400216273%20MATRIZ%20INVENTARIO%20ACTIVOS%20DE%20INFORMACI&#211;N%202023%20VF%20CONTROL%20INTER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20237200300943%20MATRIZ%20INVENTARIO%20ACTIVOS%20DE%20INFORMACI&#211;N%202023%20VF%20Financie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120237600261193%20MATRIZ%20INVENTARIO%20ACTIVOS%20DE%20INFORMACI&#211;N%202023%20VF%20CONTRATAC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ocuments/SCRD%202023/Activos%20de%20Informaci&#243;n%202023/FASE%20II/20237100262103%20MATRIZ%20INVENTARIO%20ACTIVOS%20DE%20INFORMACI&#211;N%202023%20VF%20SERV.%20ADMINISTRATIV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UARIO/Downloads/Matriz%20de%20Activos%20de%20Informacio&#769;n%202023%20Gesti&#243;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refreshError="1"/>
      <sheetData sheetId="1" refreshError="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Hoja1"/>
      <sheetName val="Tipologías"/>
    </sheetNames>
    <sheetDataSet>
      <sheetData sheetId="0"/>
      <sheetData sheetId="1"/>
      <sheetData sheetId="2">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sheetData sheetId="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cell r="E17"/>
          <cell r="F17"/>
          <cell r="G17"/>
        </row>
        <row r="21">
          <cell r="A21" t="str">
            <v>1) PÚBLICO EN GENERAL</v>
          </cell>
          <cell r="B21" t="str">
            <v>PÚBLICA</v>
          </cell>
          <cell r="C21" t="str">
            <v>BAJO</v>
          </cell>
        </row>
        <row r="22">
          <cell r="A22" t="str">
            <v>2) INTERNO DE LA ENTIDAD</v>
          </cell>
          <cell r="B22" t="str">
            <v>GENERAL (uso interno)</v>
          </cell>
          <cell r="C22" t="str">
            <v>MEDIO</v>
          </cell>
        </row>
        <row r="23">
          <cell r="A23" t="str">
            <v>3) PROCESOS</v>
          </cell>
          <cell r="B23" t="str">
            <v>CLASIFICADA</v>
          </cell>
          <cell r="C23" t="str">
            <v>ALTO</v>
          </cell>
        </row>
        <row r="24">
          <cell r="A24" t="str">
            <v>4) ALTA DIRECCIÓN</v>
          </cell>
          <cell r="B24" t="str">
            <v>RESERVADA</v>
          </cell>
          <cell r="C24" t="str">
            <v>ALTO</v>
          </cell>
        </row>
        <row r="29">
          <cell r="A29" t="str">
            <v>1) INSIGNIFICANTE</v>
          </cell>
          <cell r="B29">
            <v>1</v>
          </cell>
          <cell r="C29" t="str">
            <v>BAJO</v>
          </cell>
        </row>
        <row r="30">
          <cell r="A30" t="str">
            <v>2) MENOR</v>
          </cell>
          <cell r="B30">
            <v>2</v>
          </cell>
          <cell r="C30" t="str">
            <v>BAJO</v>
          </cell>
        </row>
        <row r="31">
          <cell r="A31" t="str">
            <v>3) MODERADO</v>
          </cell>
          <cell r="B31">
            <v>3</v>
          </cell>
          <cell r="C31" t="str">
            <v>MEDIO</v>
          </cell>
        </row>
        <row r="32">
          <cell r="A32" t="str">
            <v>4) MAYOR</v>
          </cell>
          <cell r="B32">
            <v>4</v>
          </cell>
          <cell r="C32" t="str">
            <v>ALTO</v>
          </cell>
        </row>
        <row r="33">
          <cell r="A33" t="str">
            <v>5) CATASTRÓFICO</v>
          </cell>
          <cell r="B33">
            <v>5</v>
          </cell>
          <cell r="C33" t="str">
            <v>ALTO</v>
          </cell>
        </row>
        <row r="38">
          <cell r="A38" t="str">
            <v>1) NO APLICA / NO ES RELEVANTE</v>
          </cell>
          <cell r="B38">
            <v>0</v>
          </cell>
        </row>
        <row r="39">
          <cell r="A39" t="str">
            <v>2) ES CRÍTICO PARA LAS OPERACIONES INTERNAS</v>
          </cell>
          <cell r="B39">
            <v>0.5</v>
          </cell>
        </row>
        <row r="40">
          <cell r="A40" t="str">
            <v>3) PODRÍA AFECTAR LA TOMA DE DECISIONES</v>
          </cell>
          <cell r="B40">
            <v>1</v>
          </cell>
        </row>
        <row r="41">
          <cell r="A41" t="str">
            <v>4) ES CRÍTICO PARA EL SERVICIO HACIA TERCEROS</v>
          </cell>
          <cell r="B41">
            <v>1.5</v>
          </cell>
        </row>
        <row r="42">
          <cell r="A42" t="str">
            <v>5) PUEDE GENERAR INCUMPLIMIENTOS LEGALES Y REGLAMENTARIOS</v>
          </cell>
          <cell r="B42">
            <v>2</v>
          </cell>
        </row>
        <row r="46">
          <cell r="A46" t="str">
            <v>1) 4 HORAS</v>
          </cell>
          <cell r="B46">
            <v>2.5</v>
          </cell>
        </row>
        <row r="47">
          <cell r="A47" t="str">
            <v>2) 8 HORAS</v>
          </cell>
          <cell r="B47">
            <v>2.25</v>
          </cell>
        </row>
        <row r="48">
          <cell r="A48" t="str">
            <v>3) 24 HORAS</v>
          </cell>
          <cell r="B48">
            <v>2</v>
          </cell>
        </row>
        <row r="49">
          <cell r="A49" t="str">
            <v>4) 48 HORAS</v>
          </cell>
          <cell r="B49">
            <v>1.5</v>
          </cell>
        </row>
        <row r="50">
          <cell r="A50" t="str">
            <v>5) 7 DÍAS</v>
          </cell>
          <cell r="B50">
            <v>1.25</v>
          </cell>
        </row>
        <row r="51">
          <cell r="A51" t="str">
            <v>6) 14 DÍAS</v>
          </cell>
          <cell r="B51">
            <v>1</v>
          </cell>
        </row>
        <row r="52">
          <cell r="A52" t="str">
            <v>7) 30 DÍAS</v>
          </cell>
          <cell r="B52">
            <v>0.5</v>
          </cell>
        </row>
        <row r="53">
          <cell r="A53" t="str">
            <v>8) &gt;30 DÍAS</v>
          </cell>
          <cell r="B53">
            <v>0.25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Tipologías"/>
    </sheetNames>
    <sheetDataSet>
      <sheetData sheetId="0" refreshError="1"/>
      <sheetData sheetId="1" refreshError="1">
        <row r="3">
          <cell r="B3" t="str">
            <v>1) INFORMACIÓN PÚBLICA</v>
          </cell>
          <cell r="C3" t="str">
            <v>BAJO</v>
          </cell>
          <cell r="D3" t="str">
            <v>LEY 1712 DE 2014 LEY DE TRANSPARENCIA Y DERECHO DE ACCESO A LA INFORMACIÓN. ARTÍCULO 6 DEFINICIONES LITERAL B.</v>
          </cell>
          <cell r="E3" t="str">
            <v>INFORMACIÓN PÚBLICA</v>
          </cell>
          <cell r="F3" t="str">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ell>
          <cell r="G3" t="str">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ell>
        </row>
        <row r="4">
          <cell r="B4" t="str">
            <v>2) DATOS PERSONALES</v>
          </cell>
          <cell r="C4" t="str">
            <v>ALTO</v>
          </cell>
          <cell r="D4" t="str">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ell>
          <cell r="E4" t="str">
            <v>INFORMACIÓN PÚBLICA CLASIFICADA</v>
          </cell>
          <cell r="F4" t="str">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ell>
          <cell r="G4" t="str">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ell>
        </row>
        <row r="5">
          <cell r="B5" t="str">
            <v>3) AFECTACIÓN A LA VIDA, LA SALUD O LA SEGURIDAD DE UNA PERSONA</v>
          </cell>
          <cell r="C5" t="str">
            <v>ALTO</v>
          </cell>
          <cell r="D5" t="str">
            <v>LEY 1712 DE 2014, ARTÍCULO 18 CORREGIDO POR EL ARTÍCULO 2 DEL DECRETO LEY 1494 DE 2015. INFORMACIÓN EXCEPTUADA POR DAÑO DE DERECHOS A PERSONAS NATURALES O JURÍDICAS, LITERAL B "EL DERECHO DE TODA PERSONA A LA VIDA, LA SALUD O LA SEGURIDAD."</v>
          </cell>
          <cell r="E5" t="str">
            <v>INFORMACIÓN PÚBLICA CLASIFICADA</v>
          </cell>
          <cell r="F5" t="str">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ell>
          <cell r="G5" t="str">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ell>
        </row>
        <row r="6">
          <cell r="B6" t="str">
            <v>4) SECRETOS COMERCIALES, INDUSTRIALES Y PROFESIONALES</v>
          </cell>
          <cell r="C6" t="str">
            <v>ALTO</v>
          </cell>
          <cell r="D6" t="str">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ell>
          <cell r="E6" t="str">
            <v>INFORMACIÓN PÚBLICA CLASIFICADA</v>
          </cell>
          <cell r="F6" t="str">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ell>
          <cell r="G6" t="str">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ell>
        </row>
        <row r="7">
          <cell r="B7" t="str">
            <v>5) LA DEFENSA Y SEGURIDAD NACIONAL</v>
          </cell>
          <cell r="C7" t="str">
            <v>ALTO</v>
          </cell>
          <cell r="D7" t="str">
            <v>LEY 1712   DE 2014  ARTÍCULO 19 LITERAL A "LA DEFENSA Y SEGURIDAD NACIONAL."</v>
          </cell>
          <cell r="E7" t="str">
            <v>INFORMACIÓN PÚBLICA RESERVADA</v>
          </cell>
          <cell r="F7" t="str">
            <v>LEY 1712 DE 2014 ARTÍCULO 6 LITERAL D. INFORMACIÓN PÚBLICA RESERVADA. ES AQUELLA INFORMACIÓN QUE ESTANDO EN PODER O CUSTODIA DEL SUJETO OBLIGADO EN SU CALIDAD DE TAL, ES EXCEPTUADA DE ACCESO A LA CIUDADANÍA POR DAÑO A INTERESES PÚBLICOS Y BAJO CUMPLIMIENTO DE LA TOTALIDAD DE LOS REQUISITOS CONSAGRADOS EN EL ARTÍCULO 19 DE ESTA LEY
ARTÍCULO 24 LEY 1437 DE 2011 CPACA - SUSTITUIDO POR EL ARTÍCULO 1 DE LA LEY 1755 DE 2015 - DERECHO PETICIÓN ANTE AUTORIDADES – REGLAS ESPECIALES INFORMACIÓN Y DOCUMENTOS RESERVADOS – 1. RELACIONADOS CON LA DEFENSA O SEGURIDAD NACIONAL.</v>
          </cell>
          <cell r="G7" t="str">
            <v>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v>
          </cell>
        </row>
        <row r="8">
          <cell r="B8" t="str">
            <v>6) LA SEGURIDAD PÚBLICA</v>
          </cell>
          <cell r="C8" t="str">
            <v>ALTO</v>
          </cell>
          <cell r="D8" t="str">
            <v>LEY 1712   DE 2014, ARTÍCULO 19 LITERAL B "LA SEGURIDAD PÚBLICA."</v>
          </cell>
          <cell r="E8" t="str">
            <v>INFORMACIÓN PÚBLICA RESERVADA</v>
          </cell>
          <cell r="F8" t="str">
            <v>LEY 1712   DE 2014, ARTÍCULO 19 LITERAL B "LA SEGURIDAD PÚBLICA."</v>
          </cell>
          <cell r="G8" t="str">
            <v xml:space="preserve">LEY 1712 DE 2014 ARTÍCULO 19  </v>
          </cell>
        </row>
        <row r="9">
          <cell r="B9" t="str">
            <v>7) LAS RELACIONES INTERNACIONALES</v>
          </cell>
          <cell r="C9" t="str">
            <v>ALTO</v>
          </cell>
          <cell r="D9" t="str">
            <v>LEY 1712   DE 2014 ARTÍCULO 19 LITERAL C "LAS RELACIONES INTERNACIONALES."</v>
          </cell>
          <cell r="E9" t="str">
            <v>INFORMACIÓN PÚBLICA RESERVADA</v>
          </cell>
          <cell r="F9" t="str">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ell>
          <cell r="G9" t="str">
            <v xml:space="preserve">LEY 1712 DE 2014 ARTÍCULO 19  </v>
          </cell>
        </row>
        <row r="10">
          <cell r="B10" t="str">
            <v>8) LA PREVENCIÓN, INVESTIGACIÓN Y PERSECUCIÓN DE LOS DELITOS Y LAS FALTAS DISCIPLINARIAS</v>
          </cell>
          <cell r="C10" t="str">
            <v>ALTO</v>
          </cell>
          <cell r="D10" t="str">
            <v>LEY 1712  DE 2014,  ARTÍCULO 19 LITERAL D "LA PREVENCIÓN, INVESTIGACIÓN Y PERSECUCIÓN DE LOS DELITOS Y LAS FALTAS DISCIPLINARIAS, MIENTRAS QUE NO SE HAGA EFECTIVA LA MEDIDA DE ASEGURAMIENTO O SE FORMULE PLIEGO DE CARGOS, SEGÚN EL CASO."</v>
          </cell>
          <cell r="E10" t="str">
            <v>INFORMACIÓN PÚBLICA RESERVADA</v>
          </cell>
          <cell r="F10" t="str">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ell>
          <cell r="G10" t="str">
            <v>LEY 1952 DE 2019 ARTÍCULO 115 HASTA CUANDO SE CITE A LA AUDIENCIA Y SE FORMULE PLIEGO DE CARGOS O SE EMITA LA PROVIDENCIA QUE ORDENE EL ARCHIVO DEFINITIVO.</v>
          </cell>
        </row>
        <row r="11">
          <cell r="B11" t="str">
            <v>9) EL DEBIDO PROCESO Y LA IGUALDAD DE LAS PARTES EN LOS PROCESOS JUDICIALES</v>
          </cell>
          <cell r="C11" t="str">
            <v>ALTO</v>
          </cell>
          <cell r="D11" t="str">
            <v>LEY 1712   DE 2014 ARTÍCULO 19 LITERAL E "EL DEBIDO PROCESO Y LA IGUALDAD DE LAS PARTES EN LOS PROCESOS JUDICIALES."</v>
          </cell>
          <cell r="E11" t="str">
            <v>INFORMACIÓN PÚBLICA RESERVADA</v>
          </cell>
          <cell r="F11" t="str">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ell>
          <cell r="G11" t="str">
            <v>LEY 1712 DE 2014 ARTÍCULO 19   
LEY 1564  DE 2012 CÓDIGO GENERAL DEL PROCESO</v>
          </cell>
        </row>
        <row r="12">
          <cell r="B12" t="str">
            <v>10) LA ADMINISTRACIÓN EFECTIVA DE LA JUSTICIA</v>
          </cell>
          <cell r="C12" t="str">
            <v>ALTO</v>
          </cell>
          <cell r="D12" t="str">
            <v>LEY 1712   DE 2014, ARTÍCULO 19 LITERAL F "LA ADMINISTRACIÓN EFECTIVA DE LA JUSTICIA."</v>
          </cell>
          <cell r="E12" t="str">
            <v>INFORMACIÓN PÚBLICA RESERVADA</v>
          </cell>
          <cell r="F12" t="str">
            <v xml:space="preserve">CONSTITUCIÓN POLÍTICA DE COLOMBIA ARTICULO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v>
          </cell>
          <cell r="G12">
            <v>0</v>
          </cell>
        </row>
        <row r="13">
          <cell r="B13" t="str">
            <v>11) LOS DERECHOS DE LA INFANCIA Y LA ADOLESCENCIA</v>
          </cell>
          <cell r="C13" t="str">
            <v>ALTO</v>
          </cell>
          <cell r="D13" t="str">
            <v>LEY 1712   DE 2014 ARTÍCULO 19 LITERAL G "LOS DERECHOS DE LA INFANCIA Y LA ADOLESCENCIA."</v>
          </cell>
          <cell r="E13" t="str">
            <v>INFORMACIÓN PÚBLICA RESERVADA</v>
          </cell>
          <cell r="F13" t="str">
            <v>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v>
          </cell>
          <cell r="G13" t="str">
            <v>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v>
          </cell>
        </row>
        <row r="14">
          <cell r="B14" t="str">
            <v>12) LA ESTABILIDAD MACROECONÓMICA Y FINANCIERA DEL PAÍS</v>
          </cell>
          <cell r="C14" t="str">
            <v>ALTO</v>
          </cell>
          <cell r="D14" t="str">
            <v>LEY 1712   DE 2014 ARTÍCULO 19 LITERAL H "LA ESTABILIDAD MACROECONÓMICA Y FINANCIERA DEL PAÍS."</v>
          </cell>
          <cell r="E14" t="str">
            <v>INFORMACIÓN PÚBLICA RESERVADA</v>
          </cell>
          <cell r="F14" t="str">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ell>
          <cell r="G14" t="str">
            <v xml:space="preserve">LEY 1712 DE 2014 ARTÍCULO 19  </v>
          </cell>
        </row>
        <row r="15">
          <cell r="B15" t="str">
            <v>13) LA SALUD PÚBLICA</v>
          </cell>
          <cell r="C15" t="str">
            <v>ALTO</v>
          </cell>
          <cell r="D15" t="str">
            <v>LEY 1712   DE 2014  ARTÍCULO 19 LITERAL I "LA SALUD PÚBLICA."</v>
          </cell>
          <cell r="E15" t="str">
            <v>INFORMACIÓN PÚBLICA RESERVADA</v>
          </cell>
          <cell r="F15" t="str">
            <v>LEY 1712   DE 2014  ARTÍCULO 19 LITERAL I "LA SALUD PÚBLICA."</v>
          </cell>
          <cell r="G15" t="str">
            <v xml:space="preserve">LEY 1712 DE 2014 ARTÍCULO 19  </v>
          </cell>
        </row>
        <row r="16">
          <cell r="B16" t="str">
            <v>14) OPINIONES O PUNTOS DE VISTA QUE FORMAN PARTE DEL PROCESO DELIBERATIVO DE LOS SERVIDORES PÚBLICOS</v>
          </cell>
          <cell r="C16" t="str">
            <v>ALTO</v>
          </cell>
          <cell r="D16" t="str">
            <v>LEY 1712 DE 2014  ARTÍCULO 19 PARÁGRAFO "SE EXCEPTÚAN TAMBIÉN LOS DOCUMENTOS QUE CONTENGAN LAS OPINIONES O PUNTOS DE VISTA QUE FORMEN PARTE DEL PROCESO DELIBERATIVO DE LOS SERVIDORES PÚBLICOS."</v>
          </cell>
          <cell r="E16" t="str">
            <v>INFORMACIÓN PÚBLICA RESERVADA</v>
          </cell>
          <cell r="F16" t="str">
            <v>LEY 1712 DE 2014 ARTÍCULO 19 PARÁGRAFO: SE EXCEPTÚAN TAMBIÉN LOS DOCUMENTOS QUE CONTENGAN LAS OPINIONES O PUNTOS DE VISTA QUE FORMEN PARTE DEL PROCESO DELIBERATIVO DE LOS SERVIDORES PÚBLICOS</v>
          </cell>
          <cell r="G16" t="str">
            <v xml:space="preserve">LEY 1712 DE 2014 ARTÍCULO 19  </v>
          </cell>
        </row>
        <row r="17">
          <cell r="B17" t="str">
            <v>15) PROTECCIÓN POR UNA NORMA LEGAL O CONSTITUCIONAL DE UN TEMA DIFERENTE A LOS ENUNCIADOS ANTERIORMENTE</v>
          </cell>
          <cell r="C17" t="str">
            <v>ALTO</v>
          </cell>
          <cell r="D17">
            <v>0</v>
          </cell>
          <cell r="E17">
            <v>0</v>
          </cell>
          <cell r="F17">
            <v>0</v>
          </cell>
          <cell r="G17">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ulturarecreacionydeporte.gov.co/es/transparencia-acceso-informacion-publica" TargetMode="External"/><Relationship Id="rId2" Type="http://schemas.openxmlformats.org/officeDocument/2006/relationships/hyperlink" Target="https://www.culturarecreacionydeporte.gov.co/es/transparencia-acceso-informacion-publica" TargetMode="External"/><Relationship Id="rId1" Type="http://schemas.openxmlformats.org/officeDocument/2006/relationships/hyperlink" Target="https://www.bogotadistritografiti.gov.co/" TargetMode="External"/><Relationship Id="rId5" Type="http://schemas.openxmlformats.org/officeDocument/2006/relationships/printerSettings" Target="../printerSettings/printerSettings1.bin"/><Relationship Id="rId4" Type="http://schemas.openxmlformats.org/officeDocument/2006/relationships/hyperlink" Target="https://www.culturarecreacionydeporte.gov.co/es/transparencia-acceso-informacion-publ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414"/>
  <sheetViews>
    <sheetView showGridLines="0" tabSelected="1" zoomScale="60" zoomScaleNormal="60" workbookViewId="0">
      <selection activeCell="BI9" sqref="BI9:BJ15"/>
    </sheetView>
  </sheetViews>
  <sheetFormatPr baseColWidth="10" defaultColWidth="11.28515625" defaultRowHeight="15" x14ac:dyDescent="0.2"/>
  <cols>
    <col min="1" max="1" width="18.140625" style="50" customWidth="1"/>
    <col min="2" max="2" width="18.140625" style="50" hidden="1" customWidth="1"/>
    <col min="3" max="3" width="18.140625" style="71" customWidth="1"/>
    <col min="4" max="4" width="18.140625" style="66" customWidth="1"/>
    <col min="5" max="5" width="18.140625" style="213" customWidth="1"/>
    <col min="6" max="6" width="18.140625" style="50" customWidth="1"/>
    <col min="7" max="9" width="18.140625" style="50" hidden="1" customWidth="1"/>
    <col min="10" max="11" width="18.140625" style="66" customWidth="1"/>
    <col min="12" max="15" width="18.140625" style="50" hidden="1" customWidth="1"/>
    <col min="16" max="16" width="18.140625" style="66" customWidth="1"/>
    <col min="17" max="18" width="18.140625" style="213" hidden="1" customWidth="1"/>
    <col min="19" max="20" width="18.140625" style="213" customWidth="1"/>
    <col min="21" max="29" width="18.140625" style="50" hidden="1" customWidth="1"/>
    <col min="30" max="31" width="18.140625" style="161" hidden="1" customWidth="1"/>
    <col min="32" max="46" width="18.140625" style="50" hidden="1" customWidth="1"/>
    <col min="47" max="47" width="18.140625" style="66" customWidth="1"/>
    <col min="48" max="49" width="18.140625" style="50" hidden="1" customWidth="1"/>
    <col min="50" max="51" width="18.140625" style="50" customWidth="1"/>
    <col min="52" max="55" width="18.140625" style="66" customWidth="1"/>
    <col min="56" max="57" width="18.140625" style="50" hidden="1" customWidth="1"/>
    <col min="58" max="58" width="4.7109375" style="50" customWidth="1"/>
    <col min="59" max="59" width="7.7109375" style="50" customWidth="1"/>
    <col min="60" max="60" width="12.7109375" style="50" customWidth="1"/>
    <col min="61" max="63" width="6.7109375" style="50" customWidth="1"/>
    <col min="64" max="16384" width="11.28515625" style="50"/>
  </cols>
  <sheetData>
    <row r="1" spans="1:76" x14ac:dyDescent="0.2">
      <c r="A1" s="45"/>
      <c r="B1" s="45"/>
      <c r="C1" s="61"/>
      <c r="D1" s="208"/>
      <c r="E1" s="211"/>
      <c r="F1" s="45"/>
      <c r="G1" s="45"/>
      <c r="H1" s="45"/>
      <c r="I1" s="45"/>
      <c r="J1" s="208"/>
      <c r="K1" s="208"/>
      <c r="L1" s="45"/>
      <c r="M1" s="45"/>
      <c r="N1" s="45"/>
      <c r="O1" s="45"/>
      <c r="P1" s="208"/>
      <c r="Q1" s="211"/>
      <c r="R1" s="211"/>
      <c r="S1" s="211"/>
      <c r="T1" s="211"/>
      <c r="U1" s="45"/>
      <c r="V1" s="45"/>
      <c r="W1" s="45"/>
      <c r="X1" s="45"/>
      <c r="Y1" s="45"/>
      <c r="Z1" s="45"/>
      <c r="AA1" s="45"/>
      <c r="AB1" s="45"/>
      <c r="AC1" s="45"/>
      <c r="AF1" s="45"/>
      <c r="AG1" s="45"/>
      <c r="AH1" s="45"/>
      <c r="AI1" s="45"/>
      <c r="AJ1" s="45"/>
      <c r="AK1" s="45"/>
      <c r="AL1" s="45"/>
      <c r="AM1" s="45"/>
      <c r="AN1" s="45"/>
      <c r="AO1" s="45"/>
      <c r="AP1" s="45"/>
      <c r="AQ1" s="45"/>
      <c r="AR1" s="45"/>
      <c r="AS1" s="45"/>
      <c r="AT1" s="45"/>
      <c r="AU1" s="208"/>
      <c r="AV1" s="45"/>
      <c r="AW1" s="221"/>
      <c r="AX1" s="221"/>
      <c r="AY1" s="45"/>
      <c r="AZ1" s="208"/>
      <c r="BA1" s="208"/>
      <c r="BB1" s="208"/>
      <c r="BC1" s="208"/>
      <c r="BD1" s="45"/>
      <c r="BE1" s="45"/>
      <c r="BF1" s="221"/>
      <c r="BG1" s="221"/>
      <c r="BH1" s="45"/>
      <c r="BI1" s="45"/>
      <c r="BJ1" s="221"/>
      <c r="BK1" s="221"/>
      <c r="BL1" s="45"/>
    </row>
    <row r="2" spans="1:76" ht="27.75" customHeight="1" x14ac:dyDescent="0.2">
      <c r="A2" s="235" t="s">
        <v>856</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21"/>
      <c r="BG2" s="221"/>
      <c r="BH2" s="45"/>
      <c r="BI2" s="45"/>
      <c r="BJ2" s="221"/>
      <c r="BK2" s="221"/>
      <c r="BL2" s="45"/>
    </row>
    <row r="3" spans="1:76" ht="26.45" customHeight="1" x14ac:dyDescent="0.2">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21"/>
      <c r="BG3" s="221"/>
      <c r="BH3" s="45"/>
      <c r="BI3" s="45"/>
      <c r="BJ3" s="221"/>
      <c r="BK3" s="221"/>
      <c r="BL3" s="45"/>
    </row>
    <row r="4" spans="1:76" ht="25.5" customHeight="1" x14ac:dyDescent="0.2">
      <c r="A4" s="236"/>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21"/>
      <c r="BG4" s="221"/>
      <c r="BH4" s="45"/>
      <c r="BI4" s="45"/>
      <c r="BJ4" s="221"/>
      <c r="BK4" s="221"/>
      <c r="BL4" s="45"/>
    </row>
    <row r="5" spans="1:76" ht="15" customHeight="1" x14ac:dyDescent="0.2">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c r="AY5" s="236"/>
      <c r="AZ5" s="236"/>
      <c r="BA5" s="236"/>
      <c r="BB5" s="236"/>
      <c r="BC5" s="236"/>
      <c r="BD5" s="236"/>
      <c r="BE5" s="236"/>
      <c r="BF5" s="221"/>
      <c r="BG5" s="221"/>
      <c r="BH5" s="45"/>
      <c r="BI5" s="45"/>
      <c r="BJ5" s="221"/>
      <c r="BK5" s="221"/>
      <c r="BL5" s="45"/>
    </row>
    <row r="6" spans="1:76" ht="11.25" customHeight="1" x14ac:dyDescent="0.2">
      <c r="A6" s="62"/>
      <c r="B6" s="62"/>
      <c r="C6" s="62"/>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63"/>
      <c r="AR6" s="63"/>
      <c r="AS6" s="63"/>
      <c r="AT6" s="63"/>
      <c r="AU6" s="214"/>
      <c r="AV6" s="45"/>
      <c r="AW6" s="221"/>
      <c r="AX6" s="221"/>
      <c r="AY6" s="45"/>
      <c r="AZ6" s="208"/>
      <c r="BA6" s="208"/>
      <c r="BB6" s="208"/>
      <c r="BC6" s="208"/>
      <c r="BD6" s="45"/>
      <c r="BE6" s="45"/>
      <c r="BF6" s="221"/>
      <c r="BG6" s="221"/>
      <c r="BH6" s="45"/>
      <c r="BI6" s="45"/>
      <c r="BJ6" s="221"/>
      <c r="BK6" s="221"/>
      <c r="BL6" s="45"/>
    </row>
    <row r="7" spans="1:76" ht="11.25" customHeight="1" x14ac:dyDescent="0.2">
      <c r="A7" s="62"/>
      <c r="B7" s="62"/>
      <c r="C7" s="62"/>
      <c r="D7" s="206"/>
      <c r="E7" s="208"/>
      <c r="F7" s="62"/>
      <c r="G7" s="47"/>
      <c r="H7" s="47"/>
      <c r="I7" s="47"/>
      <c r="J7" s="206"/>
      <c r="K7" s="206"/>
      <c r="L7" s="47"/>
      <c r="M7" s="47"/>
      <c r="N7" s="47"/>
      <c r="O7" s="47"/>
      <c r="P7" s="206"/>
      <c r="Q7" s="206"/>
      <c r="R7" s="206"/>
      <c r="S7" s="206"/>
      <c r="T7" s="206"/>
      <c r="U7" s="47"/>
      <c r="V7" s="47"/>
      <c r="W7" s="47"/>
      <c r="X7" s="47"/>
      <c r="Y7" s="47"/>
      <c r="Z7" s="47"/>
      <c r="AA7" s="47"/>
      <c r="AB7" s="47"/>
      <c r="AC7" s="47"/>
      <c r="AD7" s="47"/>
      <c r="AE7" s="47"/>
      <c r="AF7" s="47"/>
      <c r="AG7" s="47"/>
      <c r="AH7" s="47"/>
      <c r="AI7" s="47"/>
      <c r="AJ7" s="47"/>
      <c r="AK7" s="47"/>
      <c r="AL7" s="47"/>
      <c r="AM7" s="47"/>
      <c r="AN7" s="47"/>
      <c r="AO7" s="47"/>
      <c r="AP7" s="47"/>
      <c r="AQ7" s="63"/>
      <c r="AR7" s="63"/>
      <c r="AS7" s="63"/>
      <c r="AT7" s="63"/>
      <c r="AU7" s="214"/>
      <c r="AV7" s="45"/>
      <c r="AW7" s="221"/>
      <c r="AX7" s="221"/>
      <c r="AY7" s="45"/>
      <c r="AZ7" s="208"/>
      <c r="BA7" s="208"/>
      <c r="BB7" s="208"/>
      <c r="BC7" s="208"/>
      <c r="BD7" s="45"/>
      <c r="BE7" s="45"/>
      <c r="BF7" s="221"/>
      <c r="BG7" s="221"/>
      <c r="BH7" s="45"/>
      <c r="BI7" s="45"/>
      <c r="BJ7" s="221"/>
      <c r="BK7" s="221"/>
      <c r="BL7" s="45"/>
    </row>
    <row r="8" spans="1:76" s="65" customFormat="1" ht="32.25" customHeight="1" x14ac:dyDescent="0.25">
      <c r="A8" s="232" t="s">
        <v>34</v>
      </c>
      <c r="B8" s="232"/>
      <c r="C8" s="232"/>
      <c r="D8" s="232"/>
      <c r="E8" s="232"/>
      <c r="F8" s="232"/>
      <c r="G8" s="203" t="s">
        <v>32</v>
      </c>
      <c r="H8" s="232" t="s">
        <v>33</v>
      </c>
      <c r="I8" s="232"/>
      <c r="J8" s="232" t="s">
        <v>35</v>
      </c>
      <c r="K8" s="232"/>
      <c r="L8" s="232"/>
      <c r="M8" s="232"/>
      <c r="N8" s="232"/>
      <c r="O8" s="232"/>
      <c r="P8" s="232"/>
      <c r="Q8" s="233" t="s">
        <v>0</v>
      </c>
      <c r="R8" s="233"/>
      <c r="S8" s="233" t="s">
        <v>30</v>
      </c>
      <c r="T8" s="233"/>
      <c r="U8" s="242" t="s">
        <v>41</v>
      </c>
      <c r="V8" s="242"/>
      <c r="W8" s="242"/>
      <c r="X8" s="242"/>
      <c r="Y8" s="242"/>
      <c r="Z8" s="242"/>
      <c r="AA8" s="242"/>
      <c r="AB8" s="242"/>
      <c r="AC8" s="204" t="s">
        <v>236</v>
      </c>
      <c r="AD8" s="242" t="s">
        <v>36</v>
      </c>
      <c r="AE8" s="242"/>
      <c r="AF8" s="242"/>
      <c r="AG8" s="242"/>
      <c r="AH8" s="242"/>
      <c r="AI8" s="242"/>
      <c r="AJ8" s="242" t="s">
        <v>43</v>
      </c>
      <c r="AK8" s="242"/>
      <c r="AL8" s="242"/>
      <c r="AM8" s="242"/>
      <c r="AN8" s="242"/>
      <c r="AO8" s="242"/>
      <c r="AP8" s="242"/>
      <c r="AQ8" s="242"/>
      <c r="AR8" s="242"/>
      <c r="AS8" s="242"/>
      <c r="AT8" s="242"/>
      <c r="AU8" s="242"/>
      <c r="AV8" s="242"/>
      <c r="AW8" s="242"/>
      <c r="AX8" s="242"/>
      <c r="AY8" s="242"/>
      <c r="AZ8" s="242"/>
      <c r="BA8" s="242"/>
      <c r="BB8" s="242"/>
      <c r="BC8" s="242"/>
      <c r="BD8" s="242"/>
      <c r="BE8" s="242"/>
      <c r="BF8" s="234"/>
      <c r="BG8" s="234"/>
      <c r="BH8" s="64"/>
      <c r="BI8" s="64"/>
      <c r="BJ8" s="234"/>
      <c r="BK8" s="234"/>
      <c r="BL8" s="64"/>
    </row>
    <row r="9" spans="1:76" s="66" customFormat="1" ht="97.15" customHeight="1" x14ac:dyDescent="0.25">
      <c r="A9" s="205" t="s">
        <v>1</v>
      </c>
      <c r="B9" s="72" t="s">
        <v>45</v>
      </c>
      <c r="C9" s="205" t="s">
        <v>2</v>
      </c>
      <c r="D9" s="205" t="s">
        <v>31</v>
      </c>
      <c r="E9" s="205" t="s">
        <v>3</v>
      </c>
      <c r="F9" s="205" t="s">
        <v>4</v>
      </c>
      <c r="G9" s="72" t="s">
        <v>5</v>
      </c>
      <c r="H9" s="72" t="s">
        <v>29</v>
      </c>
      <c r="I9" s="72" t="s">
        <v>6</v>
      </c>
      <c r="J9" s="205" t="s">
        <v>7</v>
      </c>
      <c r="K9" s="205" t="s">
        <v>8</v>
      </c>
      <c r="L9" s="72" t="s">
        <v>44</v>
      </c>
      <c r="M9" s="72" t="s">
        <v>9</v>
      </c>
      <c r="N9" s="72" t="s">
        <v>10</v>
      </c>
      <c r="O9" s="72" t="s">
        <v>37</v>
      </c>
      <c r="P9" s="205" t="s">
        <v>38</v>
      </c>
      <c r="Q9" s="72" t="s">
        <v>11</v>
      </c>
      <c r="R9" s="72" t="s">
        <v>12</v>
      </c>
      <c r="S9" s="205" t="s">
        <v>13</v>
      </c>
      <c r="T9" s="205" t="s">
        <v>14</v>
      </c>
      <c r="U9" s="72" t="s">
        <v>15</v>
      </c>
      <c r="V9" s="72" t="s">
        <v>19</v>
      </c>
      <c r="W9" s="72" t="s">
        <v>17</v>
      </c>
      <c r="X9" s="72" t="s">
        <v>18</v>
      </c>
      <c r="Y9" s="72" t="s">
        <v>16</v>
      </c>
      <c r="Z9" s="72" t="s">
        <v>20</v>
      </c>
      <c r="AA9" s="72" t="s">
        <v>21</v>
      </c>
      <c r="AB9" s="72" t="s">
        <v>22</v>
      </c>
      <c r="AC9" s="72" t="s">
        <v>23</v>
      </c>
      <c r="AD9" s="73" t="s">
        <v>126</v>
      </c>
      <c r="AE9" s="73" t="s">
        <v>181</v>
      </c>
      <c r="AF9" s="72" t="s">
        <v>182</v>
      </c>
      <c r="AG9" s="73" t="s">
        <v>125</v>
      </c>
      <c r="AH9" s="72" t="s">
        <v>183</v>
      </c>
      <c r="AI9" s="73" t="s">
        <v>127</v>
      </c>
      <c r="AJ9" s="73" t="s">
        <v>128</v>
      </c>
      <c r="AK9" s="72" t="s">
        <v>184</v>
      </c>
      <c r="AL9" s="72" t="s">
        <v>185</v>
      </c>
      <c r="AM9" s="72" t="s">
        <v>186</v>
      </c>
      <c r="AN9" s="72" t="s">
        <v>187</v>
      </c>
      <c r="AO9" s="72" t="s">
        <v>188</v>
      </c>
      <c r="AP9" s="72" t="s">
        <v>189</v>
      </c>
      <c r="AQ9" s="72" t="s">
        <v>190</v>
      </c>
      <c r="AR9" s="72" t="s">
        <v>191</v>
      </c>
      <c r="AS9" s="72" t="s">
        <v>192</v>
      </c>
      <c r="AT9" s="72" t="s">
        <v>193</v>
      </c>
      <c r="AU9" s="205" t="s">
        <v>39</v>
      </c>
      <c r="AV9" s="72" t="s">
        <v>46</v>
      </c>
      <c r="AW9" s="72" t="s">
        <v>40</v>
      </c>
      <c r="AX9" s="205" t="s">
        <v>42</v>
      </c>
      <c r="AY9" s="205" t="s">
        <v>24</v>
      </c>
      <c r="AZ9" s="205" t="s">
        <v>25</v>
      </c>
      <c r="BA9" s="205" t="s">
        <v>26</v>
      </c>
      <c r="BB9" s="205" t="s">
        <v>27</v>
      </c>
      <c r="BC9" s="205" t="s">
        <v>28</v>
      </c>
      <c r="BD9" s="73" t="s">
        <v>47</v>
      </c>
      <c r="BE9" s="73" t="s">
        <v>48</v>
      </c>
      <c r="BF9" s="230"/>
      <c r="BG9" s="230"/>
      <c r="BH9" s="230"/>
      <c r="BI9" s="230"/>
      <c r="BJ9" s="230"/>
      <c r="BK9" s="230"/>
      <c r="BL9" s="230"/>
      <c r="BM9" s="230"/>
      <c r="BN9" s="230"/>
      <c r="BO9" s="230"/>
      <c r="BP9" s="230"/>
      <c r="BQ9" s="230"/>
      <c r="BR9" s="230"/>
      <c r="BS9" s="230"/>
      <c r="BT9" s="230"/>
      <c r="BU9" s="230"/>
      <c r="BV9" s="230"/>
      <c r="BW9" s="230"/>
      <c r="BX9" s="230"/>
    </row>
    <row r="10" spans="1:76" s="67" customFormat="1" ht="207.75" customHeight="1" x14ac:dyDescent="0.2">
      <c r="A10" s="76">
        <v>1</v>
      </c>
      <c r="B10" s="101" t="s">
        <v>65</v>
      </c>
      <c r="C10" s="101" t="s">
        <v>313</v>
      </c>
      <c r="D10" s="218" t="s">
        <v>64</v>
      </c>
      <c r="E10" s="120" t="s">
        <v>315</v>
      </c>
      <c r="F10" s="102" t="s">
        <v>316</v>
      </c>
      <c r="G10" s="101" t="s">
        <v>205</v>
      </c>
      <c r="H10" s="102" t="s">
        <v>317</v>
      </c>
      <c r="I10" s="102" t="s">
        <v>318</v>
      </c>
      <c r="J10" s="151" t="s">
        <v>319</v>
      </c>
      <c r="K10" s="120" t="s">
        <v>320</v>
      </c>
      <c r="L10" s="102" t="s">
        <v>321</v>
      </c>
      <c r="M10" s="102" t="s">
        <v>322</v>
      </c>
      <c r="N10" s="102" t="s">
        <v>323</v>
      </c>
      <c r="O10" s="120" t="s">
        <v>151</v>
      </c>
      <c r="P10" s="120" t="s">
        <v>324</v>
      </c>
      <c r="Q10" s="119" t="s">
        <v>325</v>
      </c>
      <c r="R10" s="119" t="s">
        <v>325</v>
      </c>
      <c r="S10" s="180" t="s">
        <v>326</v>
      </c>
      <c r="T10" s="120" t="s">
        <v>327</v>
      </c>
      <c r="U10" s="121" t="s">
        <v>328</v>
      </c>
      <c r="V10" s="121" t="s">
        <v>328</v>
      </c>
      <c r="W10" s="121" t="s">
        <v>329</v>
      </c>
      <c r="X10" s="121" t="s">
        <v>329</v>
      </c>
      <c r="Y10" s="121" t="s">
        <v>329</v>
      </c>
      <c r="Z10" s="121" t="s">
        <v>329</v>
      </c>
      <c r="AA10" s="121" t="s">
        <v>195</v>
      </c>
      <c r="AB10" s="121" t="s">
        <v>195</v>
      </c>
      <c r="AC10" s="158" t="s">
        <v>195</v>
      </c>
      <c r="AD10" s="162" t="s">
        <v>212</v>
      </c>
      <c r="AE10" s="162" t="s">
        <v>136</v>
      </c>
      <c r="AF10" s="121" t="str">
        <f>AR10</f>
        <v>ALTO</v>
      </c>
      <c r="AG10" s="121" t="s">
        <v>104</v>
      </c>
      <c r="AH10" s="121" t="str">
        <f>_xlfn.IFNA((AS10),"")</f>
        <v>ALTO</v>
      </c>
      <c r="AI10" s="103" t="s">
        <v>115</v>
      </c>
      <c r="AJ10" s="121" t="s">
        <v>123</v>
      </c>
      <c r="AK10" s="121" t="str">
        <f>_xlfn.IFNA((AT10),"")</f>
        <v>MEDIO</v>
      </c>
      <c r="AL10" s="124" t="s">
        <v>92</v>
      </c>
      <c r="AM10" s="124">
        <v>3</v>
      </c>
      <c r="AN10" s="124" t="s">
        <v>92</v>
      </c>
      <c r="AO10" s="124">
        <v>3</v>
      </c>
      <c r="AP10" s="124">
        <v>2</v>
      </c>
      <c r="AQ10" s="124">
        <v>0.5</v>
      </c>
      <c r="AR10" s="124" t="s">
        <v>92</v>
      </c>
      <c r="AS10" s="124" t="s">
        <v>92</v>
      </c>
      <c r="AT10" s="124" t="s">
        <v>103</v>
      </c>
      <c r="AU10" s="124" t="str">
        <f>_xlfn.IFNA(IF(AND(AR10="BAJO",AS10="BAJO",AT10="BAJO"),"BAJO",IF(AND(AR30="ALTO",AS10="ALTO",AT10="ALTO"),"ALTO",IF(COUNTIF(AR10:AT10,"ALTO")=2,"ALTO","MEDIO")))," ")</f>
        <v>ALTO</v>
      </c>
      <c r="AV10" s="105" t="s">
        <v>94</v>
      </c>
      <c r="AW10" s="124" t="str">
        <f t="shared" ref="AW10:AW13" si="0">IF(AV10="INFORMACIÓN PÚBLICA","IPB",IF(AV10="INFORMACIÓN PÚBLICA CLASIFICADA","IPC",IF(AV10="INFORMACIÓN PÚBLICA RESERVADA","IPR",IF(AV10="",""))))</f>
        <v>IPR</v>
      </c>
      <c r="AX10" s="104" t="str">
        <f>_xlfn.IFNA(VLOOKUP(AD10,[1]Tipologías!$B$3:$G$17,3,0),"")</f>
        <v>LEY 1712  DE 2014,  ARTÍCULO 19 LITERAL D "LA PREVENCIÓN, INVESTIGACIÓN Y PERSECUCIÓN DE LOS DELITOS Y LAS FALTAS DISCIPLINARIAS, MIENTRAS QUE NO SE HAGA EFECTIVA LA MEDIDA DE ASEGURAMIENTO O SE FORMULE PLIEGO DE CARGOS, SEGÚN EL CASO."</v>
      </c>
      <c r="AY10" s="104" t="str">
        <f>_xlfn.IFNA(VLOOKUP(AD10,[1]Tipologías!$B$3:$G$17,5,0),"")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0" s="124" t="s">
        <v>330</v>
      </c>
      <c r="BA10" s="168" t="s">
        <v>197</v>
      </c>
      <c r="BB10" s="169">
        <v>45077</v>
      </c>
      <c r="BC10" s="168" t="s">
        <v>224</v>
      </c>
      <c r="BD10" s="170" t="s">
        <v>331</v>
      </c>
      <c r="BE10" s="170" t="s">
        <v>332</v>
      </c>
      <c r="BF10" s="230"/>
      <c r="BG10" s="230"/>
      <c r="BH10" s="230"/>
      <c r="BI10" s="230"/>
      <c r="BJ10" s="230"/>
      <c r="BK10" s="230"/>
      <c r="BL10" s="230"/>
      <c r="BM10" s="230"/>
      <c r="BN10" s="230"/>
      <c r="BO10" s="230"/>
      <c r="BP10" s="230"/>
      <c r="BQ10" s="230"/>
      <c r="BR10" s="230"/>
      <c r="BS10" s="230"/>
      <c r="BT10" s="230"/>
      <c r="BU10" s="230"/>
      <c r="BV10" s="230"/>
      <c r="BW10" s="230"/>
      <c r="BX10" s="230"/>
    </row>
    <row r="11" spans="1:76" s="68" customFormat="1" ht="207.75" customHeight="1" x14ac:dyDescent="0.2">
      <c r="A11" s="76">
        <v>2</v>
      </c>
      <c r="B11" s="101" t="s">
        <v>65</v>
      </c>
      <c r="C11" s="101" t="s">
        <v>313</v>
      </c>
      <c r="D11" s="218" t="s">
        <v>64</v>
      </c>
      <c r="E11" s="182" t="s">
        <v>333</v>
      </c>
      <c r="F11" s="104" t="s">
        <v>334</v>
      </c>
      <c r="G11" s="101" t="s">
        <v>174</v>
      </c>
      <c r="H11" s="102" t="s">
        <v>64</v>
      </c>
      <c r="I11" s="102" t="s">
        <v>335</v>
      </c>
      <c r="J11" s="151" t="s">
        <v>336</v>
      </c>
      <c r="K11" s="120" t="s">
        <v>320</v>
      </c>
      <c r="L11" s="102" t="s">
        <v>321</v>
      </c>
      <c r="M11" s="106" t="s">
        <v>337</v>
      </c>
      <c r="N11" s="102" t="s">
        <v>338</v>
      </c>
      <c r="O11" s="120" t="s">
        <v>151</v>
      </c>
      <c r="P11" s="120" t="s">
        <v>339</v>
      </c>
      <c r="Q11" s="119" t="s">
        <v>325</v>
      </c>
      <c r="R11" s="119" t="s">
        <v>195</v>
      </c>
      <c r="S11" s="180" t="s">
        <v>195</v>
      </c>
      <c r="T11" s="180" t="s">
        <v>195</v>
      </c>
      <c r="U11" s="121" t="s">
        <v>328</v>
      </c>
      <c r="V11" s="121" t="s">
        <v>328</v>
      </c>
      <c r="W11" s="121" t="s">
        <v>329</v>
      </c>
      <c r="X11" s="121" t="s">
        <v>329</v>
      </c>
      <c r="Y11" s="121" t="s">
        <v>329</v>
      </c>
      <c r="Z11" s="121" t="s">
        <v>329</v>
      </c>
      <c r="AA11" s="121" t="s">
        <v>195</v>
      </c>
      <c r="AB11" s="121" t="s">
        <v>195</v>
      </c>
      <c r="AC11" s="158" t="s">
        <v>195</v>
      </c>
      <c r="AD11" s="162" t="s">
        <v>212</v>
      </c>
      <c r="AE11" s="162" t="s">
        <v>136</v>
      </c>
      <c r="AF11" s="121" t="str">
        <f t="shared" ref="AF11:AF13" si="1">AR11</f>
        <v>ALTO</v>
      </c>
      <c r="AG11" s="121" t="s">
        <v>102</v>
      </c>
      <c r="AH11" s="121" t="str">
        <f>_xlfn.IFNA((AS11),"")</f>
        <v>MEDIO</v>
      </c>
      <c r="AI11" s="103" t="s">
        <v>115</v>
      </c>
      <c r="AJ11" s="121" t="s">
        <v>119</v>
      </c>
      <c r="AK11" s="121" t="str">
        <f>_xlfn.IFNA((AT11),"")</f>
        <v>ALTO</v>
      </c>
      <c r="AL11" s="124" t="s">
        <v>92</v>
      </c>
      <c r="AM11" s="124">
        <v>3</v>
      </c>
      <c r="AN11" s="124" t="s">
        <v>92</v>
      </c>
      <c r="AO11" s="124">
        <v>3</v>
      </c>
      <c r="AP11" s="124">
        <v>2</v>
      </c>
      <c r="AQ11" s="124">
        <v>2</v>
      </c>
      <c r="AR11" s="124" t="s">
        <v>92</v>
      </c>
      <c r="AS11" s="124" t="s">
        <v>103</v>
      </c>
      <c r="AT11" s="124" t="s">
        <v>92</v>
      </c>
      <c r="AU11" s="124" t="str">
        <f>_xlfn.IFNA(IF(AND(AR11="BAJO",AS11="BAJO",AT11="BAJO"),"BAJO",IF(AND(AR31="ALTO",AS11="ALTO",AT11="ALTO"),"ALTO",IF(COUNTIF(AR11:AT11,"ALTO")=2,"ALTO","MEDIO")))," ")</f>
        <v>ALTO</v>
      </c>
      <c r="AV11" s="105" t="s">
        <v>94</v>
      </c>
      <c r="AW11" s="124" t="str">
        <f t="shared" si="0"/>
        <v>IPR</v>
      </c>
      <c r="AX11" s="104" t="str">
        <f>_xlfn.IFNA(VLOOKUP(AD11,[1]Tipologías!$B$3:$G$17,3,0),"")</f>
        <v>LEY 1712  DE 2014,  ARTÍCULO 19 LITERAL D "LA PREVENCIÓN, INVESTIGACIÓN Y PERSECUCIÓN DE LOS DELITOS Y LAS FALTAS DISCIPLINARIAS, MIENTRAS QUE NO SE HAGA EFECTIVA LA MEDIDA DE ASEGURAMIENTO O SE FORMULE PLIEGO DE CARGOS, SEGÚN EL CASO."</v>
      </c>
      <c r="AY11" s="104" t="str">
        <f>_xlfn.IFNA(VLOOKUP(AD11,[1]Tipologías!$B$3:$G$17,5,0),"")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1" s="124" t="s">
        <v>330</v>
      </c>
      <c r="BA11" s="168" t="s">
        <v>197</v>
      </c>
      <c r="BB11" s="169">
        <v>45077</v>
      </c>
      <c r="BC11" s="168" t="s">
        <v>224</v>
      </c>
      <c r="BD11" s="170" t="s">
        <v>331</v>
      </c>
      <c r="BE11" s="170" t="s">
        <v>332</v>
      </c>
      <c r="BF11" s="230"/>
      <c r="BG11" s="230"/>
      <c r="BH11" s="230"/>
      <c r="BI11" s="230"/>
      <c r="BJ11" s="230"/>
      <c r="BK11" s="230"/>
      <c r="BL11" s="230"/>
      <c r="BM11" s="230"/>
      <c r="BN11" s="230"/>
      <c r="BO11" s="230"/>
      <c r="BP11" s="230"/>
      <c r="BQ11" s="230"/>
      <c r="BR11" s="230"/>
      <c r="BS11" s="230"/>
      <c r="BT11" s="230"/>
      <c r="BU11" s="230"/>
      <c r="BV11" s="230"/>
      <c r="BW11" s="230"/>
      <c r="BX11" s="230"/>
    </row>
    <row r="12" spans="1:76" s="67" customFormat="1" ht="207.75" customHeight="1" x14ac:dyDescent="0.2">
      <c r="A12" s="76">
        <v>3</v>
      </c>
      <c r="B12" s="101" t="s">
        <v>65</v>
      </c>
      <c r="C12" s="101" t="s">
        <v>313</v>
      </c>
      <c r="D12" s="218" t="s">
        <v>64</v>
      </c>
      <c r="E12" s="120" t="s">
        <v>340</v>
      </c>
      <c r="F12" s="104" t="s">
        <v>341</v>
      </c>
      <c r="G12" s="101" t="s">
        <v>205</v>
      </c>
      <c r="H12" s="102" t="s">
        <v>317</v>
      </c>
      <c r="I12" s="102" t="s">
        <v>342</v>
      </c>
      <c r="J12" s="151" t="s">
        <v>319</v>
      </c>
      <c r="K12" s="120" t="s">
        <v>320</v>
      </c>
      <c r="L12" s="102" t="s">
        <v>321</v>
      </c>
      <c r="M12" s="102" t="s">
        <v>343</v>
      </c>
      <c r="N12" s="102" t="s">
        <v>323</v>
      </c>
      <c r="O12" s="120" t="s">
        <v>151</v>
      </c>
      <c r="P12" s="120" t="s">
        <v>344</v>
      </c>
      <c r="Q12" s="119" t="s">
        <v>325</v>
      </c>
      <c r="R12" s="119" t="s">
        <v>325</v>
      </c>
      <c r="S12" s="181" t="s">
        <v>340</v>
      </c>
      <c r="T12" s="182" t="s">
        <v>345</v>
      </c>
      <c r="U12" s="121" t="s">
        <v>328</v>
      </c>
      <c r="V12" s="121" t="s">
        <v>328</v>
      </c>
      <c r="W12" s="121" t="s">
        <v>328</v>
      </c>
      <c r="X12" s="121" t="s">
        <v>329</v>
      </c>
      <c r="Y12" s="121" t="s">
        <v>328</v>
      </c>
      <c r="Z12" s="121" t="s">
        <v>329</v>
      </c>
      <c r="AA12" s="121" t="s">
        <v>195</v>
      </c>
      <c r="AB12" s="121" t="s">
        <v>195</v>
      </c>
      <c r="AC12" s="158" t="s">
        <v>195</v>
      </c>
      <c r="AD12" s="162" t="s">
        <v>212</v>
      </c>
      <c r="AE12" s="162" t="s">
        <v>136</v>
      </c>
      <c r="AF12" s="121" t="str">
        <f t="shared" si="1"/>
        <v>ALTO</v>
      </c>
      <c r="AG12" s="121" t="s">
        <v>102</v>
      </c>
      <c r="AH12" s="121" t="str">
        <f>_xlfn.IFNA((AS17),"")</f>
        <v>ALTO</v>
      </c>
      <c r="AI12" s="103" t="s">
        <v>115</v>
      </c>
      <c r="AJ12" s="121" t="s">
        <v>120</v>
      </c>
      <c r="AK12" s="121" t="str">
        <f>_xlfn.IFNA((AT12),"")</f>
        <v>ALTO</v>
      </c>
      <c r="AL12" s="124" t="s">
        <v>92</v>
      </c>
      <c r="AM12" s="124">
        <v>3</v>
      </c>
      <c r="AN12" s="124" t="s">
        <v>92</v>
      </c>
      <c r="AO12" s="124">
        <v>3</v>
      </c>
      <c r="AP12" s="124">
        <v>2</v>
      </c>
      <c r="AQ12" s="124">
        <v>1.5</v>
      </c>
      <c r="AR12" s="124" t="s">
        <v>92</v>
      </c>
      <c r="AS12" s="124" t="s">
        <v>103</v>
      </c>
      <c r="AT12" s="124" t="s">
        <v>92</v>
      </c>
      <c r="AU12" s="124" t="str">
        <f>_xlfn.IFNA(IF(AND(AR12="BAJO",AS12="BAJO",AT12="BAJO"),"BAJO",IF(AND(AR32="ALTO",AS12="ALTO",AT12="ALTO"),"ALTO",IF(COUNTIF(AR12:AT12,"ALTO")=2,"ALTO","MEDIO")))," ")</f>
        <v>ALTO</v>
      </c>
      <c r="AV12" s="105" t="s">
        <v>94</v>
      </c>
      <c r="AW12" s="124" t="str">
        <f t="shared" si="0"/>
        <v>IPR</v>
      </c>
      <c r="AX12" s="104" t="str">
        <f>_xlfn.IFNA(VLOOKUP(AD12,[1]Tipologías!$B$3:$G$17,3,0),"")</f>
        <v>LEY 1712  DE 2014,  ARTÍCULO 19 LITERAL D "LA PREVENCIÓN, INVESTIGACIÓN Y PERSECUCIÓN DE LOS DELITOS Y LAS FALTAS DISCIPLINARIAS, MIENTRAS QUE NO SE HAGA EFECTIVA LA MEDIDA DE ASEGURAMIENTO O SE FORMULE PLIEGO DE CARGOS, SEGÚN EL CASO."</v>
      </c>
      <c r="AY12" s="104" t="str">
        <f>_xlfn.IFNA(VLOOKUP(AD12,[1]Tipologías!$B$3:$G$17,5,0),"")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2" s="124" t="s">
        <v>330</v>
      </c>
      <c r="BA12" s="168" t="s">
        <v>196</v>
      </c>
      <c r="BB12" s="169">
        <v>45077</v>
      </c>
      <c r="BC12" s="168" t="s">
        <v>226</v>
      </c>
      <c r="BD12" s="170" t="s">
        <v>331</v>
      </c>
      <c r="BE12" s="170" t="s">
        <v>332</v>
      </c>
      <c r="BF12" s="230"/>
      <c r="BG12" s="230"/>
      <c r="BH12" s="230"/>
      <c r="BI12" s="230"/>
      <c r="BJ12" s="230"/>
      <c r="BK12" s="230"/>
      <c r="BL12" s="230"/>
      <c r="BM12" s="230"/>
      <c r="BN12" s="230"/>
      <c r="BO12" s="230"/>
      <c r="BP12" s="230"/>
      <c r="BQ12" s="230"/>
      <c r="BR12" s="230"/>
      <c r="BS12" s="230"/>
      <c r="BT12" s="230"/>
      <c r="BU12" s="230"/>
      <c r="BV12" s="230"/>
      <c r="BW12" s="230"/>
      <c r="BX12" s="230"/>
    </row>
    <row r="13" spans="1:76" s="67" customFormat="1" ht="207.75" customHeight="1" x14ac:dyDescent="0.2">
      <c r="A13" s="76">
        <v>4</v>
      </c>
      <c r="B13" s="101" t="s">
        <v>65</v>
      </c>
      <c r="C13" s="101" t="s">
        <v>313</v>
      </c>
      <c r="D13" s="218" t="s">
        <v>64</v>
      </c>
      <c r="E13" s="120" t="s">
        <v>346</v>
      </c>
      <c r="F13" s="101" t="s">
        <v>347</v>
      </c>
      <c r="G13" s="101" t="s">
        <v>205</v>
      </c>
      <c r="H13" s="102" t="s">
        <v>317</v>
      </c>
      <c r="I13" s="106" t="s">
        <v>318</v>
      </c>
      <c r="J13" s="151" t="s">
        <v>319</v>
      </c>
      <c r="K13" s="120" t="s">
        <v>320</v>
      </c>
      <c r="L13" s="102" t="s">
        <v>321</v>
      </c>
      <c r="M13" s="102" t="s">
        <v>343</v>
      </c>
      <c r="N13" s="102" t="s">
        <v>323</v>
      </c>
      <c r="O13" s="120" t="s">
        <v>151</v>
      </c>
      <c r="P13" s="120" t="s">
        <v>344</v>
      </c>
      <c r="Q13" s="119" t="s">
        <v>325</v>
      </c>
      <c r="R13" s="119" t="s">
        <v>325</v>
      </c>
      <c r="S13" s="180" t="s">
        <v>348</v>
      </c>
      <c r="T13" s="120" t="s">
        <v>349</v>
      </c>
      <c r="U13" s="121" t="s">
        <v>328</v>
      </c>
      <c r="V13" s="121" t="s">
        <v>328</v>
      </c>
      <c r="W13" s="121" t="s">
        <v>328</v>
      </c>
      <c r="X13" s="121" t="s">
        <v>328</v>
      </c>
      <c r="Y13" s="121" t="s">
        <v>328</v>
      </c>
      <c r="Z13" s="121" t="s">
        <v>329</v>
      </c>
      <c r="AA13" s="121" t="s">
        <v>195</v>
      </c>
      <c r="AB13" s="121" t="s">
        <v>195</v>
      </c>
      <c r="AC13" s="158" t="s">
        <v>195</v>
      </c>
      <c r="AD13" s="162" t="s">
        <v>212</v>
      </c>
      <c r="AE13" s="162" t="s">
        <v>136</v>
      </c>
      <c r="AF13" s="121" t="str">
        <f t="shared" si="1"/>
        <v>ALTO</v>
      </c>
      <c r="AG13" s="121" t="s">
        <v>104</v>
      </c>
      <c r="AH13" s="121" t="str">
        <f>_xlfn.IFNA((AS13),"")</f>
        <v>ALTO</v>
      </c>
      <c r="AI13" s="103" t="s">
        <v>115</v>
      </c>
      <c r="AJ13" s="121" t="s">
        <v>118</v>
      </c>
      <c r="AK13" s="121" t="str">
        <f>_xlfn.IFNA((AT13),"")</f>
        <v>ALTO</v>
      </c>
      <c r="AL13" s="124" t="s">
        <v>92</v>
      </c>
      <c r="AM13" s="124">
        <v>3</v>
      </c>
      <c r="AN13" s="124" t="s">
        <v>92</v>
      </c>
      <c r="AO13" s="124">
        <v>3</v>
      </c>
      <c r="AP13" s="124">
        <v>2</v>
      </c>
      <c r="AQ13" s="124">
        <v>2.25</v>
      </c>
      <c r="AR13" s="124" t="s">
        <v>92</v>
      </c>
      <c r="AS13" s="124" t="s">
        <v>92</v>
      </c>
      <c r="AT13" s="124" t="s">
        <v>92</v>
      </c>
      <c r="AU13" s="124" t="s">
        <v>92</v>
      </c>
      <c r="AV13" s="105" t="s">
        <v>94</v>
      </c>
      <c r="AW13" s="124" t="str">
        <f t="shared" si="0"/>
        <v>IPR</v>
      </c>
      <c r="AX13" s="104" t="str">
        <f>_xlfn.IFNA(VLOOKUP(AD13,[1]Tipologías!$B$3:$G$17,3,0),"")</f>
        <v>LEY 1712  DE 2014,  ARTÍCULO 19 LITERAL D "LA PREVENCIÓN, INVESTIGACIÓN Y PERSECUCIÓN DE LOS DELITOS Y LAS FALTAS DISCIPLINARIAS, MIENTRAS QUE NO SE HAGA EFECTIVA LA MEDIDA DE ASEGURAMIENTO O SE FORMULE PLIEGO DE CARGOS, SEGÚN EL CASO."</v>
      </c>
      <c r="AY13" s="104" t="str">
        <f>_xlfn.IFNA(VLOOKUP(AD13,[1]Tipologías!$B$3:$G$17,5,0),"")</f>
        <v xml:space="preserve">LEY 1952 DE 2019 CÓDIGO GENERAL DISCIPLINARIO,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v>
      </c>
      <c r="AZ13" s="124" t="s">
        <v>330</v>
      </c>
      <c r="BA13" s="168" t="s">
        <v>196</v>
      </c>
      <c r="BB13" s="169">
        <v>45077</v>
      </c>
      <c r="BC13" s="168" t="s">
        <v>224</v>
      </c>
      <c r="BD13" s="170" t="s">
        <v>331</v>
      </c>
      <c r="BE13" s="170" t="s">
        <v>332</v>
      </c>
      <c r="BF13" s="230"/>
      <c r="BG13" s="230"/>
      <c r="BH13" s="230"/>
      <c r="BI13" s="230"/>
      <c r="BJ13" s="230"/>
      <c r="BK13" s="230"/>
      <c r="BL13" s="230"/>
      <c r="BM13" s="230"/>
      <c r="BN13" s="230"/>
      <c r="BO13" s="230"/>
      <c r="BP13" s="230"/>
      <c r="BQ13" s="230"/>
      <c r="BR13" s="230"/>
      <c r="BS13" s="230"/>
      <c r="BT13" s="230"/>
      <c r="BU13" s="230"/>
      <c r="BV13" s="230"/>
      <c r="BW13" s="230"/>
      <c r="BX13" s="230"/>
    </row>
    <row r="14" spans="1:76" s="67" customFormat="1" ht="207.75" customHeight="1" x14ac:dyDescent="0.2">
      <c r="A14" s="76">
        <v>5</v>
      </c>
      <c r="B14" s="107" t="s">
        <v>59</v>
      </c>
      <c r="C14" s="107" t="s">
        <v>302</v>
      </c>
      <c r="D14" s="100" t="s">
        <v>270</v>
      </c>
      <c r="E14" s="100" t="s">
        <v>350</v>
      </c>
      <c r="F14" s="100" t="s">
        <v>351</v>
      </c>
      <c r="G14" s="107" t="s">
        <v>205</v>
      </c>
      <c r="H14" s="100" t="s">
        <v>270</v>
      </c>
      <c r="I14" s="100" t="s">
        <v>352</v>
      </c>
      <c r="J14" s="107" t="s">
        <v>336</v>
      </c>
      <c r="K14" s="100" t="s">
        <v>320</v>
      </c>
      <c r="L14" s="100" t="s">
        <v>321</v>
      </c>
      <c r="M14" s="100" t="s">
        <v>195</v>
      </c>
      <c r="N14" s="100" t="s">
        <v>353</v>
      </c>
      <c r="O14" s="100" t="s">
        <v>151</v>
      </c>
      <c r="P14" s="100" t="s">
        <v>354</v>
      </c>
      <c r="Q14" s="77" t="s">
        <v>325</v>
      </c>
      <c r="R14" s="77" t="s">
        <v>325</v>
      </c>
      <c r="S14" s="100" t="s">
        <v>355</v>
      </c>
      <c r="T14" s="100" t="s">
        <v>356</v>
      </c>
      <c r="U14" s="77" t="s">
        <v>328</v>
      </c>
      <c r="V14" s="77" t="s">
        <v>328</v>
      </c>
      <c r="W14" s="77" t="s">
        <v>329</v>
      </c>
      <c r="X14" s="77" t="s">
        <v>329</v>
      </c>
      <c r="Y14" s="77" t="s">
        <v>329</v>
      </c>
      <c r="Z14" s="77" t="s">
        <v>329</v>
      </c>
      <c r="AA14" s="77" t="s">
        <v>195</v>
      </c>
      <c r="AB14" s="77" t="s">
        <v>328</v>
      </c>
      <c r="AC14" s="138" t="s">
        <v>195</v>
      </c>
      <c r="AD14" s="146" t="s">
        <v>218</v>
      </c>
      <c r="AE14" s="146" t="s">
        <v>136</v>
      </c>
      <c r="AF14" s="136" t="str">
        <f>AR14</f>
        <v>ALTO</v>
      </c>
      <c r="AG14" s="77" t="s">
        <v>104</v>
      </c>
      <c r="AH14" s="136" t="str">
        <f>_xlfn.IFNA((AS14),"")</f>
        <v>ALTO</v>
      </c>
      <c r="AI14" s="77" t="s">
        <v>113</v>
      </c>
      <c r="AJ14" s="77" t="s">
        <v>123</v>
      </c>
      <c r="AK14" s="136" t="str">
        <f>_xlfn.IFNA((AT14),"")</f>
        <v>BAJO</v>
      </c>
      <c r="AL14" s="80" t="str">
        <f>VLOOKUP($AD14,[1]Tipologías!$B$3:$G$17,2,FALSE)</f>
        <v>ALTO</v>
      </c>
      <c r="AM14" s="80">
        <f t="shared" ref="AM14:AM64" si="2">IF(AD14="",0,IF(AL14="Bajo",1,IF(AL14="Medio",2,3)))</f>
        <v>3</v>
      </c>
      <c r="AN14" s="80" t="str">
        <f>VLOOKUP($AE14,[1]Tipologías!$A$21:$C$24,3,FALSE)</f>
        <v>ALTO</v>
      </c>
      <c r="AO14" s="80">
        <f t="shared" ref="AO14:AO64" si="3">IF(AE14="",0,IF(AN14="Bajo",1,IF(AN14="Medio",2,3)))</f>
        <v>3</v>
      </c>
      <c r="AP14" s="80">
        <f>VLOOKUP($AI14,[1]Tipologías!$A$38:$B$42,2,FALSE)</f>
        <v>1</v>
      </c>
      <c r="AQ14" s="80">
        <f>VLOOKUP($AJ14,[1]Tipologías!$A$46:$B$53,2,FALSE)</f>
        <v>0.5</v>
      </c>
      <c r="AR14" s="80" t="str">
        <f>IF(MAX(AM14,AO14)=3,"ALTO",IF(MAX(AM14,AO14)=2,"MEDIO",IF(MAX(AM14,AO14)=1,"BAJO","  ")))</f>
        <v>ALTO</v>
      </c>
      <c r="AS14" s="80" t="str">
        <f>VLOOKUP($AG14,[1]Tipologías!$A$29:$C$33,3,FALSE)</f>
        <v>ALTO</v>
      </c>
      <c r="AT14" s="80" t="str">
        <f>IF(SUM($AP14,$AQ14)&gt;=3,"ALTO",IF(SUM($AP14,$AQ14)&lt;2,"BAJO","MEDIO"))</f>
        <v>BAJO</v>
      </c>
      <c r="AU14" s="80" t="str">
        <f>_xlfn.IFNA(IF(AND(AR14="BAJO",AS14="BAJO",AT14="BAJO"),"BAJO",IF(AND(AR14="ALTO",AS14="ALTO",AT14="ALTO"),"ALTO",IF(COUNTIF(AR14:AT14,"ALTO")=2,"ALTO","MEDIO")))," ")</f>
        <v>ALTO</v>
      </c>
      <c r="AV14" s="80" t="str">
        <f>_xlfn.IFNA(VLOOKUP(AD14,[1]Tipologías!$B$3:$G$17,4,0),"")</f>
        <v>INFORMACIÓN PÚBLICA RESERVADA</v>
      </c>
      <c r="AW14" s="80" t="str">
        <f>IF(AV14="INFORMACIÓN PÚBLICA","IPB",IF(AV14="INFORMACIÓN PÚBLICA CLASIFICADA","IPC",IF(AV14="INFORMACIÓN PÚBLICA RESERVADA","IPR",IF(AV14="",""))))</f>
        <v>IPR</v>
      </c>
      <c r="AX14" s="104" t="str">
        <f>_xlfn.IFNA(VLOOKUP(AD14,[1]Tipologías!$B$3:$G$17,3,0),"")</f>
        <v>LEY 1712 DE 2014  ARTÍCULO 19 PARÁGRAFO "SE EXCEPTÚAN TAMBIÉN LOS DOCUMENTOS QUE CONTENGAN LAS OPINIONES O PUNTOS DE VISTA QUE FORMEN PARTE DEL PROCESO DELIBERATIVO DE LOS SERVIDORES PÚBLICOS."</v>
      </c>
      <c r="AY14" s="80" t="str">
        <f>_xlfn.IFNA(VLOOKUP(AD14,[1]Tipologías!$B$3:$G$17,5,0),"")</f>
        <v>LEY 1712 DE 2014 ARTÍCULO 19 PARÁGRAFO: SE EXCEPTÚAN TAMBIÉN LOS DOCUMENTOS QUE CONTENGAN LAS OPINIONES O PUNTOS DE VISTA QUE FORMEN PARTE DEL PROCESO DELIBERATIVO DE LOS SERVIDORES PÚBLICOS</v>
      </c>
      <c r="AZ14" s="80" t="str">
        <f>_xlfn.IFNA(VLOOKUP(AD14,[1]Tipologías!$B$3:$G$17,6,0),"")</f>
        <v xml:space="preserve">LEY 1712 DE 2014 ARTÍCULO 19  </v>
      </c>
      <c r="BA14" s="146" t="s">
        <v>197</v>
      </c>
      <c r="BB14" s="160">
        <v>45077</v>
      </c>
      <c r="BC14" s="146" t="s">
        <v>224</v>
      </c>
      <c r="BD14" s="146" t="s">
        <v>357</v>
      </c>
      <c r="BE14" s="146" t="s">
        <v>358</v>
      </c>
      <c r="BF14" s="230"/>
      <c r="BG14" s="230"/>
      <c r="BH14" s="230"/>
      <c r="BI14" s="230"/>
      <c r="BJ14" s="230"/>
      <c r="BK14" s="230"/>
      <c r="BL14" s="230"/>
      <c r="BM14" s="230"/>
      <c r="BN14" s="230"/>
      <c r="BO14" s="230"/>
      <c r="BP14" s="230"/>
      <c r="BQ14" s="230"/>
      <c r="BR14" s="230"/>
      <c r="BS14" s="230"/>
      <c r="BT14" s="230"/>
      <c r="BU14" s="230"/>
      <c r="BV14" s="230"/>
      <c r="BW14" s="230"/>
      <c r="BX14" s="230"/>
    </row>
    <row r="15" spans="1:76" s="67" customFormat="1" ht="207.75" customHeight="1" x14ac:dyDescent="0.2">
      <c r="A15" s="76">
        <v>6</v>
      </c>
      <c r="B15" s="107" t="s">
        <v>59</v>
      </c>
      <c r="C15" s="107" t="s">
        <v>302</v>
      </c>
      <c r="D15" s="100" t="s">
        <v>270</v>
      </c>
      <c r="E15" s="100" t="s">
        <v>359</v>
      </c>
      <c r="F15" s="100" t="s">
        <v>360</v>
      </c>
      <c r="G15" s="107" t="s">
        <v>174</v>
      </c>
      <c r="H15" s="100" t="s">
        <v>270</v>
      </c>
      <c r="I15" s="100" t="s">
        <v>361</v>
      </c>
      <c r="J15" s="107" t="s">
        <v>336</v>
      </c>
      <c r="K15" s="100" t="s">
        <v>320</v>
      </c>
      <c r="L15" s="100" t="s">
        <v>362</v>
      </c>
      <c r="M15" s="100" t="s">
        <v>195</v>
      </c>
      <c r="N15" s="100" t="s">
        <v>353</v>
      </c>
      <c r="O15" s="100" t="s">
        <v>144</v>
      </c>
      <c r="P15" s="100" t="s">
        <v>363</v>
      </c>
      <c r="Q15" s="77" t="s">
        <v>325</v>
      </c>
      <c r="R15" s="77" t="s">
        <v>325</v>
      </c>
      <c r="S15" s="100" t="s">
        <v>195</v>
      </c>
      <c r="T15" s="100" t="s">
        <v>195</v>
      </c>
      <c r="U15" s="77" t="s">
        <v>328</v>
      </c>
      <c r="V15" s="77" t="s">
        <v>328</v>
      </c>
      <c r="W15" s="77" t="s">
        <v>328</v>
      </c>
      <c r="X15" s="77" t="s">
        <v>328</v>
      </c>
      <c r="Y15" s="77" t="s">
        <v>329</v>
      </c>
      <c r="Z15" s="108" t="s">
        <v>329</v>
      </c>
      <c r="AA15" s="77" t="s">
        <v>328</v>
      </c>
      <c r="AB15" s="77" t="s">
        <v>328</v>
      </c>
      <c r="AC15" s="138" t="s">
        <v>195</v>
      </c>
      <c r="AD15" s="146" t="s">
        <v>206</v>
      </c>
      <c r="AE15" s="146" t="s">
        <v>130</v>
      </c>
      <c r="AF15" s="136" t="s">
        <v>92</v>
      </c>
      <c r="AG15" s="77" t="s">
        <v>104</v>
      </c>
      <c r="AH15" s="136" t="str">
        <f t="shared" ref="AH15:AH21" si="4">_xlfn.IFNA((AS15),"")</f>
        <v>ALTO</v>
      </c>
      <c r="AI15" s="77" t="s">
        <v>111</v>
      </c>
      <c r="AJ15" s="77" t="s">
        <v>117</v>
      </c>
      <c r="AK15" s="136" t="str">
        <f t="shared" ref="AK15:AK21" si="5">_xlfn.IFNA((AT15),"")</f>
        <v>ALTO</v>
      </c>
      <c r="AL15" s="80" t="str">
        <f>VLOOKUP($AD15,[1]Tipologías!$B$3:$G$17,2,FALSE)</f>
        <v>ALTO</v>
      </c>
      <c r="AM15" s="80">
        <f t="shared" si="2"/>
        <v>3</v>
      </c>
      <c r="AN15" s="80" t="str">
        <f>VLOOKUP($AE15,[1]Tipologías!$A$21:$C$24,3,FALSE)</f>
        <v>BAJO</v>
      </c>
      <c r="AO15" s="80">
        <f t="shared" si="3"/>
        <v>1</v>
      </c>
      <c r="AP15" s="80">
        <f>VLOOKUP($AI15,[1]Tipologías!$A$38:$B$42,2,FALSE)</f>
        <v>0.5</v>
      </c>
      <c r="AQ15" s="80">
        <f>VLOOKUP($AJ15,[1]Tipologías!$A$46:$B$53,2,FALSE)</f>
        <v>2.5</v>
      </c>
      <c r="AR15" s="80" t="str">
        <f>IF(MAX(AM15,AO15)=3,"ALTO",IF(MAX(AM15,AO15)=2,"MEDIO",IF(MAX(AM15,AO15)=1,"BAJO","  ")))</f>
        <v>ALTO</v>
      </c>
      <c r="AS15" s="80" t="str">
        <f>VLOOKUP($AG15,[1]Tipologías!$A$29:$C$33,3,FALSE)</f>
        <v>ALTO</v>
      </c>
      <c r="AT15" s="80" t="str">
        <f>IF(SUM($AP15,$AQ15)&gt;=3,"ALTO",IF(SUM($AP15,$AQ15)&lt;2,"BAJO","MEDIO"))</f>
        <v>ALTO</v>
      </c>
      <c r="AU15" s="80" t="str">
        <f>_xlfn.IFNA(IF(AND(AR15="BAJO",AS15="BAJO",AT15="BAJO"),"BAJO",IF(AND(AR15="ALTO",AS15="ALTO",AT15="ALTO"),"ALTO",IF(COUNTIF(AR15:AT15,"ALTO")=2,"ALTO","MEDIO")))," ")</f>
        <v>ALTO</v>
      </c>
      <c r="AV15" s="80" t="str">
        <f>_xlfn.IFNA(VLOOKUP(AD15,[1]Tipologías!$B$3:$G$17,4,0),"")</f>
        <v>INFORMACIÓN PÚBLICA CLASIFICADA</v>
      </c>
      <c r="AW15" s="80" t="str">
        <f t="shared" ref="AW15:AW21" si="6">IF(AV15="INFORMACIÓN PÚBLICA","IPB",IF(AV15="INFORMACIÓN PÚBLICA CLASIFICADA","IPC",IF(AV15="INFORMACIÓN PÚBLICA RESERVADA","IPR",IF(AV15="",""))))</f>
        <v>IPC</v>
      </c>
      <c r="AX15" s="80" t="str">
        <f>_xlfn.IFNA(VLOOKUP(AD15,[1]Tipologías!$B$3:$G$17,3,0),"")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5" s="80" t="str">
        <f>_xlfn.IFNA(VLOOKUP(AD15,[1]Tipologías!$B$3:$G$17,5,0),"")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5" s="80" t="str">
        <f>_xlfn.IFNA(VLOOKUP(AD15,[1]Tipologías!$B$3:$G$17,6,0),"")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5" s="146" t="s">
        <v>197</v>
      </c>
      <c r="BB15" s="160">
        <v>45077</v>
      </c>
      <c r="BC15" s="146" t="s">
        <v>201</v>
      </c>
      <c r="BD15" s="146" t="s">
        <v>357</v>
      </c>
      <c r="BE15" s="146" t="s">
        <v>358</v>
      </c>
      <c r="BF15" s="230"/>
      <c r="BG15" s="230"/>
      <c r="BH15" s="230"/>
      <c r="BI15" s="230"/>
      <c r="BJ15" s="230"/>
      <c r="BK15" s="230"/>
      <c r="BL15" s="230"/>
      <c r="BM15" s="230"/>
      <c r="BN15" s="230"/>
      <c r="BO15" s="230"/>
      <c r="BP15" s="230"/>
      <c r="BQ15" s="230"/>
      <c r="BR15" s="230"/>
      <c r="BS15" s="230"/>
      <c r="BT15" s="230"/>
      <c r="BU15" s="230"/>
      <c r="BV15" s="230"/>
      <c r="BW15" s="230"/>
      <c r="BX15" s="230"/>
    </row>
    <row r="16" spans="1:76" s="68" customFormat="1" ht="207.75" customHeight="1" x14ac:dyDescent="0.2">
      <c r="A16" s="76">
        <v>7</v>
      </c>
      <c r="B16" s="107" t="s">
        <v>59</v>
      </c>
      <c r="C16" s="107" t="s">
        <v>302</v>
      </c>
      <c r="D16" s="100" t="s">
        <v>270</v>
      </c>
      <c r="E16" s="100" t="s">
        <v>364</v>
      </c>
      <c r="F16" s="109" t="s">
        <v>365</v>
      </c>
      <c r="G16" s="107" t="s">
        <v>205</v>
      </c>
      <c r="H16" s="100" t="s">
        <v>72</v>
      </c>
      <c r="I16" s="100" t="s">
        <v>352</v>
      </c>
      <c r="J16" s="107" t="s">
        <v>336</v>
      </c>
      <c r="K16" s="100" t="s">
        <v>320</v>
      </c>
      <c r="L16" s="100" t="s">
        <v>321</v>
      </c>
      <c r="M16" s="100" t="s">
        <v>195</v>
      </c>
      <c r="N16" s="100" t="s">
        <v>353</v>
      </c>
      <c r="O16" s="100" t="s">
        <v>151</v>
      </c>
      <c r="P16" s="109" t="s">
        <v>366</v>
      </c>
      <c r="Q16" s="77" t="s">
        <v>325</v>
      </c>
      <c r="R16" s="77" t="s">
        <v>325</v>
      </c>
      <c r="S16" s="100" t="s">
        <v>367</v>
      </c>
      <c r="T16" s="100" t="s">
        <v>368</v>
      </c>
      <c r="U16" s="77" t="s">
        <v>328</v>
      </c>
      <c r="V16" s="77" t="s">
        <v>328</v>
      </c>
      <c r="W16" s="77" t="s">
        <v>328</v>
      </c>
      <c r="X16" s="77" t="s">
        <v>328</v>
      </c>
      <c r="Y16" s="77" t="s">
        <v>328</v>
      </c>
      <c r="Z16" s="108" t="s">
        <v>329</v>
      </c>
      <c r="AA16" s="77" t="s">
        <v>328</v>
      </c>
      <c r="AB16" s="77" t="s">
        <v>328</v>
      </c>
      <c r="AC16" s="138" t="s">
        <v>195</v>
      </c>
      <c r="AD16" s="146" t="s">
        <v>206</v>
      </c>
      <c r="AE16" s="146" t="s">
        <v>132</v>
      </c>
      <c r="AF16" s="136" t="s">
        <v>92</v>
      </c>
      <c r="AG16" s="77" t="s">
        <v>104</v>
      </c>
      <c r="AH16" s="136" t="str">
        <f t="shared" si="4"/>
        <v>ALTO</v>
      </c>
      <c r="AI16" s="77" t="s">
        <v>114</v>
      </c>
      <c r="AJ16" s="77" t="s">
        <v>117</v>
      </c>
      <c r="AK16" s="136" t="str">
        <f t="shared" si="5"/>
        <v>ALTO</v>
      </c>
      <c r="AL16" s="80" t="str">
        <f>VLOOKUP($AD16,[1]Tipologías!$B$3:$G$17,2,FALSE)</f>
        <v>ALTO</v>
      </c>
      <c r="AM16" s="80">
        <f t="shared" si="2"/>
        <v>3</v>
      </c>
      <c r="AN16" s="80" t="str">
        <f>VLOOKUP($AE16,[1]Tipologías!$A$21:$C$24,3,FALSE)</f>
        <v>MEDIO</v>
      </c>
      <c r="AO16" s="80">
        <f t="shared" si="3"/>
        <v>2</v>
      </c>
      <c r="AP16" s="80">
        <f>VLOOKUP($AI16,[1]Tipologías!$A$38:$B$42,2,FALSE)</f>
        <v>1.5</v>
      </c>
      <c r="AQ16" s="80">
        <f>VLOOKUP($AJ16,[1]Tipologías!$A$46:$B$53,2,FALSE)</f>
        <v>2.5</v>
      </c>
      <c r="AR16" s="80" t="str">
        <f t="shared" ref="AR16:AR21" si="7">IF(MAX(AM16,AO16)=3,"ALTO",IF(MAX(AM16,AO16)=2,"MEDIO",IF(MAX(AM16,AO16)=1,"BAJO","  ")))</f>
        <v>ALTO</v>
      </c>
      <c r="AS16" s="80" t="str">
        <f>VLOOKUP($AG16,[1]Tipologías!$A$29:$C$33,3,FALSE)</f>
        <v>ALTO</v>
      </c>
      <c r="AT16" s="80" t="str">
        <f t="shared" ref="AT16:AT21" si="8">IF(SUM($AP16,$AQ16)&gt;=3,"ALTO",IF(SUM($AP16,$AQ16)&lt;2,"BAJO","MEDIO"))</f>
        <v>ALTO</v>
      </c>
      <c r="AU16" s="80" t="str">
        <f t="shared" ref="AU16:AU21" si="9">_xlfn.IFNA(IF(AND(AR16="BAJO",AS16="BAJO",AT16="BAJO"),"BAJO",IF(AND(AR16="ALTO",AS16="ALTO",AT16="ALTO"),"ALTO",IF(COUNTIF(AR16:AT16,"ALTO")=2,"ALTO","MEDIO")))," ")</f>
        <v>ALTO</v>
      </c>
      <c r="AV16" s="80" t="str">
        <f>_xlfn.IFNA(VLOOKUP(AD16,[1]Tipologías!$B$3:$G$17,4,0),"")</f>
        <v>INFORMACIÓN PÚBLICA CLASIFICADA</v>
      </c>
      <c r="AW16" s="80" t="str">
        <f t="shared" si="6"/>
        <v>IPC</v>
      </c>
      <c r="AX16" s="80" t="str">
        <f>_xlfn.IFNA(VLOOKUP(AD16,[1]Tipologías!$B$3:$G$17,3,0),"")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6" s="80" t="str">
        <f>_xlfn.IFNA(VLOOKUP(AD16,[1]Tipologías!$B$3:$G$17,5,0),"")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6" s="80" t="str">
        <f>_xlfn.IFNA(VLOOKUP(AD16,[1]Tipologías!$B$3:$G$17,6,0),"")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6" s="146" t="s">
        <v>197</v>
      </c>
      <c r="BB16" s="160">
        <v>45077</v>
      </c>
      <c r="BC16" s="146" t="s">
        <v>224</v>
      </c>
      <c r="BD16" s="146" t="s">
        <v>357</v>
      </c>
      <c r="BE16" s="146" t="s">
        <v>358</v>
      </c>
      <c r="BF16" s="45"/>
      <c r="BG16" s="45"/>
      <c r="BH16" s="45"/>
      <c r="BI16" s="45"/>
      <c r="BJ16" s="45"/>
      <c r="BK16" s="45"/>
      <c r="BL16" s="45"/>
      <c r="BM16" s="45"/>
      <c r="BN16" s="45"/>
      <c r="BO16" s="45"/>
      <c r="BP16" s="45"/>
      <c r="BQ16" s="45"/>
      <c r="BR16" s="45"/>
      <c r="BS16" s="45"/>
      <c r="BT16" s="45"/>
      <c r="BU16" s="45"/>
      <c r="BV16" s="45"/>
      <c r="BW16" s="45"/>
      <c r="BX16" s="45"/>
    </row>
    <row r="17" spans="1:76" s="67" customFormat="1" ht="207.75" customHeight="1" x14ac:dyDescent="0.2">
      <c r="A17" s="76">
        <v>8</v>
      </c>
      <c r="B17" s="107" t="s">
        <v>59</v>
      </c>
      <c r="C17" s="107" t="s">
        <v>302</v>
      </c>
      <c r="D17" s="100" t="s">
        <v>270</v>
      </c>
      <c r="E17" s="100" t="s">
        <v>369</v>
      </c>
      <c r="F17" s="100" t="s">
        <v>370</v>
      </c>
      <c r="G17" s="107" t="s">
        <v>205</v>
      </c>
      <c r="H17" s="100" t="s">
        <v>72</v>
      </c>
      <c r="I17" s="100" t="s">
        <v>352</v>
      </c>
      <c r="J17" s="107" t="s">
        <v>336</v>
      </c>
      <c r="K17" s="100" t="s">
        <v>320</v>
      </c>
      <c r="L17" s="100" t="s">
        <v>321</v>
      </c>
      <c r="M17" s="100" t="s">
        <v>195</v>
      </c>
      <c r="N17" s="100" t="s">
        <v>353</v>
      </c>
      <c r="O17" s="100" t="s">
        <v>151</v>
      </c>
      <c r="P17" s="109" t="s">
        <v>366</v>
      </c>
      <c r="Q17" s="77" t="s">
        <v>325</v>
      </c>
      <c r="R17" s="77" t="s">
        <v>325</v>
      </c>
      <c r="S17" s="100" t="s">
        <v>367</v>
      </c>
      <c r="T17" s="100" t="s">
        <v>371</v>
      </c>
      <c r="U17" s="77" t="s">
        <v>328</v>
      </c>
      <c r="V17" s="77" t="s">
        <v>328</v>
      </c>
      <c r="W17" s="77" t="s">
        <v>328</v>
      </c>
      <c r="X17" s="77" t="s">
        <v>328</v>
      </c>
      <c r="Y17" s="77" t="s">
        <v>328</v>
      </c>
      <c r="Z17" s="77" t="s">
        <v>329</v>
      </c>
      <c r="AA17" s="77" t="s">
        <v>328</v>
      </c>
      <c r="AB17" s="77" t="s">
        <v>328</v>
      </c>
      <c r="AC17" s="138" t="s">
        <v>195</v>
      </c>
      <c r="AD17" s="146" t="s">
        <v>206</v>
      </c>
      <c r="AE17" s="146" t="s">
        <v>132</v>
      </c>
      <c r="AF17" s="136" t="s">
        <v>92</v>
      </c>
      <c r="AG17" s="77" t="s">
        <v>104</v>
      </c>
      <c r="AH17" s="136" t="str">
        <f t="shared" si="4"/>
        <v>ALTO</v>
      </c>
      <c r="AI17" s="77" t="s">
        <v>114</v>
      </c>
      <c r="AJ17" s="77" t="s">
        <v>117</v>
      </c>
      <c r="AK17" s="136" t="str">
        <f t="shared" si="5"/>
        <v>ALTO</v>
      </c>
      <c r="AL17" s="80" t="str">
        <f>VLOOKUP($AD17,[1]Tipologías!$B$3:$G$17,2,FALSE)</f>
        <v>ALTO</v>
      </c>
      <c r="AM17" s="80">
        <f t="shared" si="2"/>
        <v>3</v>
      </c>
      <c r="AN17" s="80" t="str">
        <f>VLOOKUP($AE17,[1]Tipologías!$A$21:$C$24,3,FALSE)</f>
        <v>MEDIO</v>
      </c>
      <c r="AO17" s="80">
        <f t="shared" si="3"/>
        <v>2</v>
      </c>
      <c r="AP17" s="80">
        <f>VLOOKUP($AI17,[1]Tipologías!$A$38:$B$42,2,FALSE)</f>
        <v>1.5</v>
      </c>
      <c r="AQ17" s="80">
        <f>VLOOKUP($AJ17,[1]Tipologías!$A$46:$B$53,2,FALSE)</f>
        <v>2.5</v>
      </c>
      <c r="AR17" s="80" t="str">
        <f t="shared" si="7"/>
        <v>ALTO</v>
      </c>
      <c r="AS17" s="80" t="str">
        <f>VLOOKUP($AG17,[1]Tipologías!$A$29:$C$33,3,FALSE)</f>
        <v>ALTO</v>
      </c>
      <c r="AT17" s="80" t="str">
        <f t="shared" si="8"/>
        <v>ALTO</v>
      </c>
      <c r="AU17" s="80" t="str">
        <f t="shared" si="9"/>
        <v>ALTO</v>
      </c>
      <c r="AV17" s="80" t="str">
        <f>_xlfn.IFNA(VLOOKUP(AD17,[1]Tipologías!$B$3:$G$17,4,0),"")</f>
        <v>INFORMACIÓN PÚBLICA CLASIFICADA</v>
      </c>
      <c r="AW17" s="80" t="str">
        <f t="shared" si="6"/>
        <v>IPC</v>
      </c>
      <c r="AX17" s="80" t="str">
        <f>_xlfn.IFNA(VLOOKUP(AD17,[1]Tipologías!$B$3:$G$17,3,0),"")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7" s="80" t="str">
        <f>_xlfn.IFNA(VLOOKUP(AD17,[1]Tipologías!$B$3:$G$17,5,0),"")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7" s="80" t="str">
        <f>_xlfn.IFNA(VLOOKUP(AD17,[1]Tipologías!$B$3:$G$17,6,0),"")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7" s="146" t="s">
        <v>197</v>
      </c>
      <c r="BB17" s="160">
        <v>45077</v>
      </c>
      <c r="BC17" s="146" t="s">
        <v>224</v>
      </c>
      <c r="BD17" s="146" t="s">
        <v>357</v>
      </c>
      <c r="BE17" s="146" t="s">
        <v>358</v>
      </c>
      <c r="BF17" s="45"/>
      <c r="BG17" s="45"/>
      <c r="BH17" s="45"/>
      <c r="BI17" s="45"/>
      <c r="BJ17" s="45"/>
      <c r="BK17" s="45"/>
      <c r="BL17" s="45"/>
      <c r="BM17" s="45"/>
      <c r="BN17" s="45"/>
      <c r="BO17" s="45"/>
      <c r="BP17" s="45"/>
      <c r="BQ17" s="45"/>
      <c r="BR17" s="45"/>
      <c r="BS17" s="45"/>
      <c r="BT17" s="45"/>
      <c r="BU17" s="45"/>
      <c r="BV17" s="45"/>
      <c r="BW17" s="45"/>
      <c r="BX17" s="45"/>
    </row>
    <row r="18" spans="1:76" s="68" customFormat="1" ht="207.75" customHeight="1" x14ac:dyDescent="0.2">
      <c r="A18" s="76">
        <v>9</v>
      </c>
      <c r="B18" s="107" t="s">
        <v>59</v>
      </c>
      <c r="C18" s="107" t="s">
        <v>302</v>
      </c>
      <c r="D18" s="100" t="s">
        <v>270</v>
      </c>
      <c r="E18" s="100" t="s">
        <v>372</v>
      </c>
      <c r="F18" s="100" t="s">
        <v>373</v>
      </c>
      <c r="G18" s="107" t="s">
        <v>140</v>
      </c>
      <c r="H18" s="100" t="s">
        <v>72</v>
      </c>
      <c r="I18" s="100" t="s">
        <v>374</v>
      </c>
      <c r="J18" s="107" t="s">
        <v>336</v>
      </c>
      <c r="K18" s="100" t="s">
        <v>320</v>
      </c>
      <c r="L18" s="100" t="s">
        <v>362</v>
      </c>
      <c r="M18" s="100" t="s">
        <v>195</v>
      </c>
      <c r="N18" s="100" t="s">
        <v>375</v>
      </c>
      <c r="O18" s="100" t="s">
        <v>144</v>
      </c>
      <c r="P18" s="100" t="s">
        <v>363</v>
      </c>
      <c r="Q18" s="77" t="s">
        <v>325</v>
      </c>
      <c r="R18" s="77" t="s">
        <v>325</v>
      </c>
      <c r="S18" s="100" t="s">
        <v>195</v>
      </c>
      <c r="T18" s="100" t="s">
        <v>195</v>
      </c>
      <c r="U18" s="77" t="s">
        <v>328</v>
      </c>
      <c r="V18" s="77" t="s">
        <v>328</v>
      </c>
      <c r="W18" s="77" t="s">
        <v>328</v>
      </c>
      <c r="X18" s="77" t="s">
        <v>328</v>
      </c>
      <c r="Y18" s="77" t="s">
        <v>328</v>
      </c>
      <c r="Z18" s="77" t="s">
        <v>329</v>
      </c>
      <c r="AA18" s="77" t="s">
        <v>328</v>
      </c>
      <c r="AB18" s="77" t="s">
        <v>328</v>
      </c>
      <c r="AC18" s="138" t="s">
        <v>195</v>
      </c>
      <c r="AD18" s="146" t="s">
        <v>206</v>
      </c>
      <c r="AE18" s="146" t="s">
        <v>130</v>
      </c>
      <c r="AF18" s="136" t="s">
        <v>92</v>
      </c>
      <c r="AG18" s="77" t="s">
        <v>104</v>
      </c>
      <c r="AH18" s="136" t="str">
        <f t="shared" si="4"/>
        <v>ALTO</v>
      </c>
      <c r="AI18" s="77" t="s">
        <v>111</v>
      </c>
      <c r="AJ18" s="77" t="s">
        <v>117</v>
      </c>
      <c r="AK18" s="136" t="str">
        <f t="shared" si="5"/>
        <v>ALTO</v>
      </c>
      <c r="AL18" s="80" t="str">
        <f>VLOOKUP($AD18,[1]Tipologías!$B$3:$G$17,2,FALSE)</f>
        <v>ALTO</v>
      </c>
      <c r="AM18" s="80">
        <f t="shared" si="2"/>
        <v>3</v>
      </c>
      <c r="AN18" s="80" t="str">
        <f>VLOOKUP($AE18,[1]Tipologías!$A$21:$C$24,3,FALSE)</f>
        <v>BAJO</v>
      </c>
      <c r="AO18" s="80">
        <f t="shared" si="3"/>
        <v>1</v>
      </c>
      <c r="AP18" s="80">
        <f>VLOOKUP($AI18,[1]Tipologías!$A$38:$B$42,2,FALSE)</f>
        <v>0.5</v>
      </c>
      <c r="AQ18" s="80">
        <f>VLOOKUP($AJ18,[1]Tipologías!$A$46:$B$53,2,FALSE)</f>
        <v>2.5</v>
      </c>
      <c r="AR18" s="80" t="str">
        <f t="shared" si="7"/>
        <v>ALTO</v>
      </c>
      <c r="AS18" s="80" t="str">
        <f>VLOOKUP($AG18,[1]Tipologías!$A$29:$C$33,3,FALSE)</f>
        <v>ALTO</v>
      </c>
      <c r="AT18" s="80" t="str">
        <f t="shared" si="8"/>
        <v>ALTO</v>
      </c>
      <c r="AU18" s="80" t="str">
        <f t="shared" si="9"/>
        <v>ALTO</v>
      </c>
      <c r="AV18" s="80" t="str">
        <f>_xlfn.IFNA(VLOOKUP(AD18,[1]Tipologías!$B$3:$G$17,4,0),"")</f>
        <v>INFORMACIÓN PÚBLICA CLASIFICADA</v>
      </c>
      <c r="AW18" s="80" t="str">
        <f t="shared" si="6"/>
        <v>IPC</v>
      </c>
      <c r="AX18" s="80" t="str">
        <f>_xlfn.IFNA(VLOOKUP(AD18,[1]Tipologías!$B$3:$G$17,3,0),"")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8" s="80" t="str">
        <f>_xlfn.IFNA(VLOOKUP(AD18,[1]Tipologías!$B$3:$G$17,5,0),"")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8" s="80" t="str">
        <f>_xlfn.IFNA(VLOOKUP(AD18,[1]Tipologías!$B$3:$G$17,6,0),"")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8" s="146" t="s">
        <v>197</v>
      </c>
      <c r="BB18" s="160">
        <v>45077</v>
      </c>
      <c r="BC18" s="146" t="s">
        <v>201</v>
      </c>
      <c r="BD18" s="146" t="s">
        <v>357</v>
      </c>
      <c r="BE18" s="146" t="s">
        <v>358</v>
      </c>
      <c r="BF18" s="45"/>
      <c r="BG18" s="45"/>
      <c r="BH18" s="45"/>
      <c r="BI18" s="45"/>
      <c r="BJ18" s="45"/>
      <c r="BK18" s="45"/>
      <c r="BL18" s="45"/>
      <c r="BM18" s="45"/>
      <c r="BN18" s="45"/>
      <c r="BO18" s="45"/>
      <c r="BP18" s="45"/>
      <c r="BQ18" s="45"/>
      <c r="BR18" s="45"/>
      <c r="BS18" s="45"/>
      <c r="BT18" s="45"/>
      <c r="BU18" s="45"/>
      <c r="BV18" s="45"/>
      <c r="BW18" s="45"/>
      <c r="BX18" s="45"/>
    </row>
    <row r="19" spans="1:76" s="67" customFormat="1" ht="207.75" customHeight="1" x14ac:dyDescent="0.2">
      <c r="A19" s="76">
        <v>10</v>
      </c>
      <c r="B19" s="107" t="s">
        <v>59</v>
      </c>
      <c r="C19" s="107" t="s">
        <v>302</v>
      </c>
      <c r="D19" s="100" t="s">
        <v>270</v>
      </c>
      <c r="E19" s="100" t="s">
        <v>372</v>
      </c>
      <c r="F19" s="100" t="s">
        <v>373</v>
      </c>
      <c r="G19" s="107" t="s">
        <v>141</v>
      </c>
      <c r="H19" s="100" t="s">
        <v>72</v>
      </c>
      <c r="I19" s="100" t="s">
        <v>374</v>
      </c>
      <c r="J19" s="107" t="s">
        <v>336</v>
      </c>
      <c r="K19" s="100" t="s">
        <v>320</v>
      </c>
      <c r="L19" s="100" t="s">
        <v>362</v>
      </c>
      <c r="M19" s="100" t="s">
        <v>195</v>
      </c>
      <c r="N19" s="100" t="s">
        <v>375</v>
      </c>
      <c r="O19" s="100" t="s">
        <v>144</v>
      </c>
      <c r="P19" s="100" t="s">
        <v>363</v>
      </c>
      <c r="Q19" s="77" t="s">
        <v>325</v>
      </c>
      <c r="R19" s="77" t="s">
        <v>325</v>
      </c>
      <c r="S19" s="100" t="s">
        <v>195</v>
      </c>
      <c r="T19" s="100" t="s">
        <v>195</v>
      </c>
      <c r="U19" s="77" t="s">
        <v>328</v>
      </c>
      <c r="V19" s="77" t="s">
        <v>328</v>
      </c>
      <c r="W19" s="77" t="s">
        <v>328</v>
      </c>
      <c r="X19" s="77" t="s">
        <v>328</v>
      </c>
      <c r="Y19" s="77" t="s">
        <v>328</v>
      </c>
      <c r="Z19" s="77" t="s">
        <v>329</v>
      </c>
      <c r="AA19" s="77" t="s">
        <v>328</v>
      </c>
      <c r="AB19" s="77" t="s">
        <v>328</v>
      </c>
      <c r="AC19" s="138" t="s">
        <v>195</v>
      </c>
      <c r="AD19" s="146" t="s">
        <v>206</v>
      </c>
      <c r="AE19" s="146" t="s">
        <v>130</v>
      </c>
      <c r="AF19" s="136" t="s">
        <v>92</v>
      </c>
      <c r="AG19" s="77" t="s">
        <v>104</v>
      </c>
      <c r="AH19" s="136" t="str">
        <f t="shared" si="4"/>
        <v>ALTO</v>
      </c>
      <c r="AI19" s="77" t="s">
        <v>111</v>
      </c>
      <c r="AJ19" s="77" t="s">
        <v>117</v>
      </c>
      <c r="AK19" s="136" t="str">
        <f t="shared" si="5"/>
        <v>ALTO</v>
      </c>
      <c r="AL19" s="80" t="str">
        <f>VLOOKUP($AD19,[1]Tipologías!$B$3:$G$17,2,FALSE)</f>
        <v>ALTO</v>
      </c>
      <c r="AM19" s="80">
        <f t="shared" si="2"/>
        <v>3</v>
      </c>
      <c r="AN19" s="80" t="str">
        <f>VLOOKUP($AE19,[1]Tipologías!$A$21:$C$24,3,FALSE)</f>
        <v>BAJO</v>
      </c>
      <c r="AO19" s="80">
        <f t="shared" si="3"/>
        <v>1</v>
      </c>
      <c r="AP19" s="80">
        <f>VLOOKUP($AI19,[1]Tipologías!$A$38:$B$42,2,FALSE)</f>
        <v>0.5</v>
      </c>
      <c r="AQ19" s="80">
        <f>VLOOKUP($AJ19,[1]Tipologías!$A$46:$B$53,2,FALSE)</f>
        <v>2.5</v>
      </c>
      <c r="AR19" s="80" t="str">
        <f t="shared" si="7"/>
        <v>ALTO</v>
      </c>
      <c r="AS19" s="80" t="str">
        <f>VLOOKUP($AG19,[1]Tipologías!$A$29:$C$33,3,FALSE)</f>
        <v>ALTO</v>
      </c>
      <c r="AT19" s="80" t="str">
        <f t="shared" si="8"/>
        <v>ALTO</v>
      </c>
      <c r="AU19" s="80" t="str">
        <f t="shared" si="9"/>
        <v>ALTO</v>
      </c>
      <c r="AV19" s="80" t="str">
        <f>_xlfn.IFNA(VLOOKUP(AD19,[1]Tipologías!$B$3:$G$17,4,0),"")</f>
        <v>INFORMACIÓN PÚBLICA CLASIFICADA</v>
      </c>
      <c r="AW19" s="80" t="str">
        <f t="shared" si="6"/>
        <v>IPC</v>
      </c>
      <c r="AX19" s="80" t="str">
        <f>_xlfn.IFNA(VLOOKUP(AD19,[1]Tipologías!$B$3:$G$17,3,0),"")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9" s="80" t="str">
        <f>_xlfn.IFNA(VLOOKUP(AD19,[1]Tipologías!$B$3:$G$17,5,0),"")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9" s="80" t="str">
        <f>_xlfn.IFNA(VLOOKUP(AD19,[1]Tipologías!$B$3:$G$17,6,0),"")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9" s="146" t="s">
        <v>197</v>
      </c>
      <c r="BB19" s="160">
        <v>45077</v>
      </c>
      <c r="BC19" s="146" t="s">
        <v>201</v>
      </c>
      <c r="BD19" s="146" t="s">
        <v>357</v>
      </c>
      <c r="BE19" s="146" t="s">
        <v>358</v>
      </c>
      <c r="BF19" s="45"/>
      <c r="BG19" s="45"/>
      <c r="BH19" s="45"/>
      <c r="BI19" s="45"/>
      <c r="BJ19" s="45"/>
      <c r="BK19" s="45"/>
      <c r="BL19" s="45"/>
      <c r="BM19" s="45"/>
      <c r="BN19" s="45"/>
      <c r="BO19" s="45"/>
      <c r="BP19" s="45"/>
      <c r="BQ19" s="45"/>
      <c r="BR19" s="45"/>
      <c r="BS19" s="45"/>
      <c r="BT19" s="45"/>
      <c r="BU19" s="45"/>
      <c r="BV19" s="45"/>
      <c r="BW19" s="45"/>
      <c r="BX19" s="45"/>
    </row>
    <row r="20" spans="1:76" s="67" customFormat="1" ht="207.75" customHeight="1" x14ac:dyDescent="0.2">
      <c r="A20" s="76">
        <v>11</v>
      </c>
      <c r="B20" s="107" t="s">
        <v>59</v>
      </c>
      <c r="C20" s="107" t="s">
        <v>302</v>
      </c>
      <c r="D20" s="100" t="s">
        <v>270</v>
      </c>
      <c r="E20" s="100" t="s">
        <v>372</v>
      </c>
      <c r="F20" s="100" t="s">
        <v>373</v>
      </c>
      <c r="G20" s="107" t="s">
        <v>199</v>
      </c>
      <c r="H20" s="100" t="s">
        <v>72</v>
      </c>
      <c r="I20" s="100" t="s">
        <v>376</v>
      </c>
      <c r="J20" s="107" t="s">
        <v>336</v>
      </c>
      <c r="K20" s="100" t="s">
        <v>320</v>
      </c>
      <c r="L20" s="100" t="s">
        <v>362</v>
      </c>
      <c r="M20" s="100" t="s">
        <v>195</v>
      </c>
      <c r="N20" s="100" t="s">
        <v>375</v>
      </c>
      <c r="O20" s="100" t="s">
        <v>144</v>
      </c>
      <c r="P20" s="100" t="s">
        <v>363</v>
      </c>
      <c r="Q20" s="77" t="s">
        <v>325</v>
      </c>
      <c r="R20" s="77" t="s">
        <v>325</v>
      </c>
      <c r="S20" s="100" t="s">
        <v>195</v>
      </c>
      <c r="T20" s="100" t="s">
        <v>195</v>
      </c>
      <c r="U20" s="77" t="s">
        <v>328</v>
      </c>
      <c r="V20" s="77" t="s">
        <v>328</v>
      </c>
      <c r="W20" s="77" t="s">
        <v>328</v>
      </c>
      <c r="X20" s="77" t="s">
        <v>328</v>
      </c>
      <c r="Y20" s="77" t="s">
        <v>328</v>
      </c>
      <c r="Z20" s="77" t="s">
        <v>329</v>
      </c>
      <c r="AA20" s="77" t="s">
        <v>328</v>
      </c>
      <c r="AB20" s="77" t="s">
        <v>328</v>
      </c>
      <c r="AC20" s="138" t="s">
        <v>195</v>
      </c>
      <c r="AD20" s="146" t="s">
        <v>206</v>
      </c>
      <c r="AE20" s="146" t="s">
        <v>130</v>
      </c>
      <c r="AF20" s="136" t="s">
        <v>92</v>
      </c>
      <c r="AG20" s="77" t="s">
        <v>104</v>
      </c>
      <c r="AH20" s="136" t="str">
        <f t="shared" si="4"/>
        <v>ALTO</v>
      </c>
      <c r="AI20" s="77" t="s">
        <v>111</v>
      </c>
      <c r="AJ20" s="77" t="s">
        <v>117</v>
      </c>
      <c r="AK20" s="136" t="str">
        <f t="shared" si="5"/>
        <v>ALTO</v>
      </c>
      <c r="AL20" s="80" t="str">
        <f>VLOOKUP($AD20,[1]Tipologías!$B$3:$G$17,2,FALSE)</f>
        <v>ALTO</v>
      </c>
      <c r="AM20" s="80">
        <f t="shared" si="2"/>
        <v>3</v>
      </c>
      <c r="AN20" s="80" t="str">
        <f>VLOOKUP($AE20,[1]Tipologías!$A$21:$C$24,3,FALSE)</f>
        <v>BAJO</v>
      </c>
      <c r="AO20" s="80">
        <f t="shared" si="3"/>
        <v>1</v>
      </c>
      <c r="AP20" s="80">
        <f>VLOOKUP($AI20,[1]Tipologías!$A$38:$B$42,2,FALSE)</f>
        <v>0.5</v>
      </c>
      <c r="AQ20" s="80">
        <f>VLOOKUP($AJ20,[1]Tipologías!$A$46:$B$53,2,FALSE)</f>
        <v>2.5</v>
      </c>
      <c r="AR20" s="80" t="str">
        <f t="shared" si="7"/>
        <v>ALTO</v>
      </c>
      <c r="AS20" s="80" t="str">
        <f>VLOOKUP($AG20,[1]Tipologías!$A$29:$C$33,3,FALSE)</f>
        <v>ALTO</v>
      </c>
      <c r="AT20" s="80" t="str">
        <f t="shared" si="8"/>
        <v>ALTO</v>
      </c>
      <c r="AU20" s="80" t="str">
        <f t="shared" si="9"/>
        <v>ALTO</v>
      </c>
      <c r="AV20" s="80" t="str">
        <f>_xlfn.IFNA(VLOOKUP(AD20,[1]Tipologías!$B$3:$G$17,4,0),"")</f>
        <v>INFORMACIÓN PÚBLICA CLASIFICADA</v>
      </c>
      <c r="AW20" s="80" t="str">
        <f t="shared" si="6"/>
        <v>IPC</v>
      </c>
      <c r="AX20" s="80" t="str">
        <f>_xlfn.IFNA(VLOOKUP(AD20,[1]Tipologías!$B$3:$G$17,3,0),"")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0" s="80" t="str">
        <f>_xlfn.IFNA(VLOOKUP(AD20,[1]Tipologías!$B$3:$G$17,5,0),"")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0" s="80" t="str">
        <f>_xlfn.IFNA(VLOOKUP(AD20,[1]Tipologías!$B$3:$G$17,6,0),"")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0" s="146" t="s">
        <v>197</v>
      </c>
      <c r="BB20" s="160">
        <v>45077</v>
      </c>
      <c r="BC20" s="146" t="s">
        <v>201</v>
      </c>
      <c r="BD20" s="146" t="s">
        <v>357</v>
      </c>
      <c r="BE20" s="146" t="s">
        <v>358</v>
      </c>
      <c r="BF20" s="45"/>
      <c r="BG20" s="45"/>
      <c r="BH20" s="45"/>
      <c r="BI20" s="45"/>
      <c r="BJ20" s="45"/>
      <c r="BK20" s="45"/>
      <c r="BL20" s="45"/>
      <c r="BM20" s="45"/>
      <c r="BN20" s="45"/>
      <c r="BO20" s="45"/>
      <c r="BP20" s="45"/>
      <c r="BQ20" s="45"/>
      <c r="BR20" s="45"/>
      <c r="BS20" s="45"/>
      <c r="BT20" s="45"/>
      <c r="BU20" s="45"/>
      <c r="BV20" s="45"/>
      <c r="BW20" s="45"/>
      <c r="BX20" s="45"/>
    </row>
    <row r="21" spans="1:76" s="67" customFormat="1" ht="207.75" customHeight="1" x14ac:dyDescent="0.2">
      <c r="A21" s="76">
        <v>12</v>
      </c>
      <c r="B21" s="107" t="s">
        <v>59</v>
      </c>
      <c r="C21" s="107" t="s">
        <v>302</v>
      </c>
      <c r="D21" s="100" t="s">
        <v>270</v>
      </c>
      <c r="E21" s="100" t="s">
        <v>377</v>
      </c>
      <c r="F21" s="100" t="s">
        <v>378</v>
      </c>
      <c r="G21" s="107" t="s">
        <v>173</v>
      </c>
      <c r="H21" s="100" t="s">
        <v>72</v>
      </c>
      <c r="I21" s="100" t="s">
        <v>72</v>
      </c>
      <c r="J21" s="100" t="s">
        <v>195</v>
      </c>
      <c r="K21" s="100" t="s">
        <v>320</v>
      </c>
      <c r="L21" s="100" t="s">
        <v>195</v>
      </c>
      <c r="M21" s="100" t="s">
        <v>195</v>
      </c>
      <c r="N21" s="100" t="s">
        <v>195</v>
      </c>
      <c r="O21" s="100" t="s">
        <v>195</v>
      </c>
      <c r="P21" s="100" t="s">
        <v>195</v>
      </c>
      <c r="Q21" s="77" t="s">
        <v>195</v>
      </c>
      <c r="R21" s="77" t="s">
        <v>195</v>
      </c>
      <c r="S21" s="100" t="s">
        <v>195</v>
      </c>
      <c r="T21" s="100" t="s">
        <v>195</v>
      </c>
      <c r="U21" s="77" t="s">
        <v>195</v>
      </c>
      <c r="V21" s="77" t="s">
        <v>195</v>
      </c>
      <c r="W21" s="77" t="s">
        <v>195</v>
      </c>
      <c r="X21" s="77" t="s">
        <v>195</v>
      </c>
      <c r="Y21" s="77" t="s">
        <v>195</v>
      </c>
      <c r="Z21" s="77" t="s">
        <v>195</v>
      </c>
      <c r="AA21" s="77" t="s">
        <v>195</v>
      </c>
      <c r="AB21" s="77" t="s">
        <v>195</v>
      </c>
      <c r="AC21" s="138" t="s">
        <v>195</v>
      </c>
      <c r="AD21" s="146" t="s">
        <v>208</v>
      </c>
      <c r="AE21" s="146" t="s">
        <v>132</v>
      </c>
      <c r="AF21" s="136" t="s">
        <v>92</v>
      </c>
      <c r="AG21" s="77" t="s">
        <v>104</v>
      </c>
      <c r="AH21" s="136" t="str">
        <f t="shared" si="4"/>
        <v>ALTO</v>
      </c>
      <c r="AI21" s="77" t="s">
        <v>111</v>
      </c>
      <c r="AJ21" s="77" t="s">
        <v>117</v>
      </c>
      <c r="AK21" s="136" t="str">
        <f t="shared" si="5"/>
        <v>ALTO</v>
      </c>
      <c r="AL21" s="80" t="str">
        <f>VLOOKUP($AD21,[1]Tipologías!$B$3:$G$17,2,FALSE)</f>
        <v>ALTO</v>
      </c>
      <c r="AM21" s="80">
        <f t="shared" si="2"/>
        <v>3</v>
      </c>
      <c r="AN21" s="80" t="str">
        <f>VLOOKUP($AE21,[1]Tipologías!$A$21:$C$24,3,FALSE)</f>
        <v>MEDIO</v>
      </c>
      <c r="AO21" s="80">
        <f t="shared" si="3"/>
        <v>2</v>
      </c>
      <c r="AP21" s="80">
        <f>VLOOKUP($AI21,[1]Tipologías!$A$38:$B$42,2,FALSE)</f>
        <v>0.5</v>
      </c>
      <c r="AQ21" s="80">
        <f>VLOOKUP($AJ21,[1]Tipologías!$A$46:$B$53,2,FALSE)</f>
        <v>2.5</v>
      </c>
      <c r="AR21" s="80" t="str">
        <f t="shared" si="7"/>
        <v>ALTO</v>
      </c>
      <c r="AS21" s="80" t="str">
        <f>VLOOKUP($AG21,[1]Tipologías!$A$29:$C$33,3,FALSE)</f>
        <v>ALTO</v>
      </c>
      <c r="AT21" s="80" t="str">
        <f t="shared" si="8"/>
        <v>ALTO</v>
      </c>
      <c r="AU21" s="80" t="str">
        <f t="shared" si="9"/>
        <v>ALTO</v>
      </c>
      <c r="AV21" s="80" t="str">
        <f>_xlfn.IFNA(VLOOKUP(AD21,[1]Tipologías!$B$3:$G$17,4,0),"")</f>
        <v>INFORMACIÓN PÚBLICA CLASIFICADA</v>
      </c>
      <c r="AW21" s="80" t="str">
        <f t="shared" si="6"/>
        <v>IPC</v>
      </c>
      <c r="AX21" s="80" t="str">
        <f>_xlfn.IFNA(VLOOKUP(AD21,[1]Tipologías!$B$3:$G$17,3,0),"")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1" s="80" t="str">
        <f>_xlfn.IFNA(VLOOKUP(AD21,[1]Tipologías!$B$3:$G$17,5,0),"")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1" s="80" t="str">
        <f>_xlfn.IFNA(VLOOKUP(AD21,[1]Tipologías!$B$3:$G$17,6,0),"")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1" s="146" t="s">
        <v>195</v>
      </c>
      <c r="BB21" s="160">
        <v>45077</v>
      </c>
      <c r="BC21" s="146" t="s">
        <v>195</v>
      </c>
      <c r="BD21" s="146" t="s">
        <v>357</v>
      </c>
      <c r="BE21" s="146" t="s">
        <v>358</v>
      </c>
      <c r="BF21" s="45"/>
      <c r="BG21" s="45"/>
      <c r="BH21" s="45"/>
      <c r="BI21" s="45"/>
      <c r="BJ21" s="45"/>
      <c r="BK21" s="45"/>
      <c r="BL21" s="45"/>
      <c r="BM21" s="45"/>
      <c r="BN21" s="45"/>
      <c r="BO21" s="45"/>
      <c r="BP21" s="45"/>
      <c r="BQ21" s="45"/>
      <c r="BR21" s="45"/>
      <c r="BS21" s="45"/>
      <c r="BT21" s="45"/>
      <c r="BU21" s="45"/>
      <c r="BV21" s="45"/>
      <c r="BW21" s="45"/>
      <c r="BX21" s="45"/>
    </row>
    <row r="22" spans="1:76" s="68" customFormat="1" ht="207.75" customHeight="1" x14ac:dyDescent="0.2">
      <c r="A22" s="76">
        <v>13</v>
      </c>
      <c r="B22" s="74" t="s">
        <v>59</v>
      </c>
      <c r="C22" s="74" t="s">
        <v>305</v>
      </c>
      <c r="D22" s="100" t="s">
        <v>277</v>
      </c>
      <c r="E22" s="100" t="s">
        <v>379</v>
      </c>
      <c r="F22" s="75" t="s">
        <v>380</v>
      </c>
      <c r="G22" s="74" t="s">
        <v>174</v>
      </c>
      <c r="H22" s="75" t="s">
        <v>277</v>
      </c>
      <c r="I22" s="75" t="s">
        <v>381</v>
      </c>
      <c r="J22" s="115" t="s">
        <v>336</v>
      </c>
      <c r="K22" s="100" t="s">
        <v>320</v>
      </c>
      <c r="L22" s="75" t="s">
        <v>321</v>
      </c>
      <c r="M22" s="116" t="s">
        <v>195</v>
      </c>
      <c r="N22" s="75" t="s">
        <v>382</v>
      </c>
      <c r="O22" s="116" t="s">
        <v>151</v>
      </c>
      <c r="P22" s="100" t="s">
        <v>339</v>
      </c>
      <c r="Q22" s="76" t="s">
        <v>195</v>
      </c>
      <c r="R22" s="76" t="s">
        <v>325</v>
      </c>
      <c r="S22" s="100" t="s">
        <v>195</v>
      </c>
      <c r="T22" s="100" t="s">
        <v>195</v>
      </c>
      <c r="U22" s="77" t="s">
        <v>328</v>
      </c>
      <c r="V22" s="77" t="s">
        <v>328</v>
      </c>
      <c r="W22" s="77" t="s">
        <v>328</v>
      </c>
      <c r="X22" s="77" t="s">
        <v>329</v>
      </c>
      <c r="Y22" s="77" t="s">
        <v>329</v>
      </c>
      <c r="Z22" s="77" t="s">
        <v>329</v>
      </c>
      <c r="AA22" s="77" t="s">
        <v>328</v>
      </c>
      <c r="AB22" s="77" t="s">
        <v>329</v>
      </c>
      <c r="AC22" s="138" t="s">
        <v>195</v>
      </c>
      <c r="AD22" s="142" t="s">
        <v>206</v>
      </c>
      <c r="AE22" s="142" t="s">
        <v>134</v>
      </c>
      <c r="AF22" s="136" t="str">
        <f>AR22</f>
        <v>ALTO</v>
      </c>
      <c r="AG22" s="77" t="s">
        <v>104</v>
      </c>
      <c r="AH22" s="136" t="str">
        <f t="shared" ref="AH22:AH27" si="10">_xlfn.IFNA((AS22),"")</f>
        <v>ALTO</v>
      </c>
      <c r="AI22" s="78" t="s">
        <v>114</v>
      </c>
      <c r="AJ22" s="77" t="s">
        <v>117</v>
      </c>
      <c r="AK22" s="136" t="str">
        <f>_xlfn.IFNA((AT22),"")</f>
        <v>ALTO</v>
      </c>
      <c r="AL22" s="80" t="str">
        <f>VLOOKUP($AD22,[2]Tipologías!$B$3:$G$17,2,FALSE)</f>
        <v>ALTO</v>
      </c>
      <c r="AM22" s="80">
        <f t="shared" si="2"/>
        <v>3</v>
      </c>
      <c r="AN22" s="80" t="str">
        <f>VLOOKUP($AE22,[2]Tipologías!$A$21:$C$24,3,FALSE)</f>
        <v>ALTO</v>
      </c>
      <c r="AO22" s="80">
        <f t="shared" si="3"/>
        <v>3</v>
      </c>
      <c r="AP22" s="80">
        <f>VLOOKUP($AI22,[2]Tipologías!$A$38:$B$42,2,FALSE)</f>
        <v>1.5</v>
      </c>
      <c r="AQ22" s="80">
        <f>VLOOKUP($AJ22,[2]Tipologías!$A$46:$B$53,2,FALSE)</f>
        <v>2.5</v>
      </c>
      <c r="AR22" s="80" t="str">
        <f>IF(MAX(AM22,AO22)=3,"ALTO",IF(MAX(AM22,AO22)=2,"MEDIO",IF(MAX(AM22,AO22)=1,"BAJO","  ")))</f>
        <v>ALTO</v>
      </c>
      <c r="AS22" s="80" t="str">
        <f>VLOOKUP($AG22,[2]Tipologías!$A$29:$C$33,3,FALSE)</f>
        <v>ALTO</v>
      </c>
      <c r="AT22" s="80" t="str">
        <f>IF(SUM($AP22,$AQ22)&gt;=3,"ALTO",IF(SUM($AP22,$AQ22)&lt;2,"BAJO","MEDIO"))</f>
        <v>ALTO</v>
      </c>
      <c r="AU22" s="80" t="str">
        <f>_xlfn.IFNA(IF(AND(AR22="BAJO",AS22="BAJO",AT22="BAJO"),"BAJO",IF(AND(AR22="ALTO",AS22="ALTO",AT22="ALTO"),"ALTO",IF(COUNTIF(AR22:AT22,"ALTO")=2,"ALTO","MEDIO")))," ")</f>
        <v>ALTO</v>
      </c>
      <c r="AV22" s="80" t="str">
        <f>_xlfn.IFNA(VLOOKUP(AD22,[2]Tipologías!$B$3:$G$17,4,0),"")</f>
        <v>INFORMACIÓN PÚBLICA CLASIFICADA</v>
      </c>
      <c r="AW22" s="80" t="str">
        <f>IF(AV22="INFORMACIÓN PÚBLICA","IPB",IF(AV22="INFORMACIÓN PÚBLICA CLASIFICADA","IPC",IF(AV22="INFORMACIÓN PÚBLICA RESERVADA","IPR",IF(AV22="",""))))</f>
        <v>IPC</v>
      </c>
      <c r="AX22" s="80" t="str">
        <f>_xlfn.IFNA(VLOOKUP(AD22,[2]Tipologías!$B$3:$G$17,3,0),"")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2" s="80" t="str">
        <f>_xlfn.IFNA(VLOOKUP(AD22,[2]Tipologías!$B$3:$G$17,5,0),"")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2" s="80" t="str">
        <f>_xlfn.IFNA(VLOOKUP(AD22,[2]Tipologías!$B$3:$G$17,6,0),"")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2" s="148" t="s">
        <v>197</v>
      </c>
      <c r="BB22" s="166">
        <v>45077</v>
      </c>
      <c r="BC22" s="148" t="s">
        <v>229</v>
      </c>
      <c r="BD22" s="146" t="s">
        <v>383</v>
      </c>
      <c r="BE22" s="146" t="s">
        <v>384</v>
      </c>
      <c r="BF22" s="45"/>
      <c r="BG22" s="45"/>
      <c r="BH22" s="45"/>
      <c r="BI22" s="45"/>
      <c r="BJ22" s="45"/>
      <c r="BK22" s="45"/>
      <c r="BL22" s="45"/>
      <c r="BM22" s="45"/>
      <c r="BN22" s="45"/>
      <c r="BO22" s="45"/>
      <c r="BP22" s="45"/>
      <c r="BQ22" s="45"/>
      <c r="BR22" s="45"/>
      <c r="BS22" s="45"/>
      <c r="BT22" s="45"/>
      <c r="BU22" s="45"/>
      <c r="BV22" s="45"/>
      <c r="BW22" s="45"/>
      <c r="BX22" s="45"/>
    </row>
    <row r="23" spans="1:76" s="67" customFormat="1" ht="207.75" customHeight="1" x14ac:dyDescent="0.2">
      <c r="A23" s="76">
        <v>14</v>
      </c>
      <c r="B23" s="74" t="s">
        <v>59</v>
      </c>
      <c r="C23" s="74" t="s">
        <v>305</v>
      </c>
      <c r="D23" s="100" t="s">
        <v>277</v>
      </c>
      <c r="E23" s="100" t="s">
        <v>385</v>
      </c>
      <c r="F23" s="75" t="s">
        <v>386</v>
      </c>
      <c r="G23" s="74" t="s">
        <v>174</v>
      </c>
      <c r="H23" s="75" t="s">
        <v>277</v>
      </c>
      <c r="I23" s="75" t="s">
        <v>381</v>
      </c>
      <c r="J23" s="115" t="s">
        <v>336</v>
      </c>
      <c r="K23" s="100" t="s">
        <v>320</v>
      </c>
      <c r="L23" s="75" t="s">
        <v>321</v>
      </c>
      <c r="M23" s="116" t="s">
        <v>195</v>
      </c>
      <c r="N23" s="75" t="s">
        <v>387</v>
      </c>
      <c r="O23" s="116" t="s">
        <v>149</v>
      </c>
      <c r="P23" s="100" t="s">
        <v>339</v>
      </c>
      <c r="Q23" s="76" t="s">
        <v>195</v>
      </c>
      <c r="R23" s="76" t="s">
        <v>325</v>
      </c>
      <c r="S23" s="100" t="s">
        <v>388</v>
      </c>
      <c r="T23" s="100" t="s">
        <v>388</v>
      </c>
      <c r="U23" s="77" t="s">
        <v>328</v>
      </c>
      <c r="V23" s="77" t="s">
        <v>328</v>
      </c>
      <c r="W23" s="77" t="s">
        <v>328</v>
      </c>
      <c r="X23" s="77" t="s">
        <v>329</v>
      </c>
      <c r="Y23" s="77" t="s">
        <v>329</v>
      </c>
      <c r="Z23" s="77" t="s">
        <v>329</v>
      </c>
      <c r="AA23" s="77" t="s">
        <v>195</v>
      </c>
      <c r="AB23" s="77" t="s">
        <v>195</v>
      </c>
      <c r="AC23" s="138" t="s">
        <v>195</v>
      </c>
      <c r="AD23" s="142" t="s">
        <v>206</v>
      </c>
      <c r="AE23" s="142" t="s">
        <v>134</v>
      </c>
      <c r="AF23" s="136" t="s">
        <v>92</v>
      </c>
      <c r="AG23" s="77" t="s">
        <v>102</v>
      </c>
      <c r="AH23" s="136" t="str">
        <f t="shared" si="10"/>
        <v>MEDIO</v>
      </c>
      <c r="AI23" s="78" t="s">
        <v>114</v>
      </c>
      <c r="AJ23" s="77" t="s">
        <v>117</v>
      </c>
      <c r="AK23" s="136" t="s">
        <v>92</v>
      </c>
      <c r="AL23" s="80" t="str">
        <f>VLOOKUP($AD23,[2]Tipologías!$B$3:$G$17,2,FALSE)</f>
        <v>ALTO</v>
      </c>
      <c r="AM23" s="80">
        <f t="shared" si="2"/>
        <v>3</v>
      </c>
      <c r="AN23" s="80" t="str">
        <f>VLOOKUP($AE23,[2]Tipologías!$A$21:$C$24,3,FALSE)</f>
        <v>ALTO</v>
      </c>
      <c r="AO23" s="80">
        <f t="shared" si="3"/>
        <v>3</v>
      </c>
      <c r="AP23" s="80">
        <f>VLOOKUP($AI23,[2]Tipologías!$A$38:$B$42,2,FALSE)</f>
        <v>1.5</v>
      </c>
      <c r="AQ23" s="80">
        <f>VLOOKUP($AJ23,[2]Tipologías!$A$46:$B$53,2,FALSE)</f>
        <v>2.5</v>
      </c>
      <c r="AR23" s="80" t="str">
        <f>IF(MAX(AM23,AO23)=3,"ALTO",IF(MAX(AM23,AO23)=2,"MEDIO",IF(MAX(AM23,AO23)=1,"BAJO","  ")))</f>
        <v>ALTO</v>
      </c>
      <c r="AS23" s="80" t="str">
        <f>VLOOKUP($AG23,[2]Tipologías!$A$29:$C$33,3,FALSE)</f>
        <v>MEDIO</v>
      </c>
      <c r="AT23" s="80" t="str">
        <f>IF(SUM($AP23,$AQ23)&gt;=3,"ALTO",IF(SUM($AP23,$AQ23)&lt;2,"BAJO","MEDIO"))</f>
        <v>ALTO</v>
      </c>
      <c r="AU23" s="80" t="str">
        <f>_xlfn.IFNA(IF(AND(AR23="BAJO",AS23="BAJO",AT23="BAJO"),"BAJO",IF(AND(AR23="ALTO",AS23="ALTO",AT23="ALTO"),"ALTO",IF(COUNTIF(AR23:AT23,"ALTO")=2,"ALTO","MEDIO")))," ")</f>
        <v>ALTO</v>
      </c>
      <c r="AV23" s="80" t="str">
        <f>_xlfn.IFNA(VLOOKUP(AD23,[2]Tipologías!$B$3:$G$17,4,0),"")</f>
        <v>INFORMACIÓN PÚBLICA CLASIFICADA</v>
      </c>
      <c r="AW23" s="80" t="str">
        <f>IF(AV23="INFORMACIÓN PÚBLICA","IPB",IF(AV23="INFORMACIÓN PÚBLICA CLASIFICADA","IPC",IF(AV23="INFORMACIÓN PÚBLICA RESERVADA","IPR",IF(AV23="",""))))</f>
        <v>IPC</v>
      </c>
      <c r="AX23" s="80" t="str">
        <f>_xlfn.IFNA(VLOOKUP(AD23,[2]Tipologías!$B$3:$G$17,3,0),"")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3" s="80" t="str">
        <f>_xlfn.IFNA(VLOOKUP(AD23,[2]Tipologías!$B$3:$G$17,5,0),"")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3" s="80" t="str">
        <f>_xlfn.IFNA(VLOOKUP(AD23,[2]Tipologías!$B$3:$G$17,6,0),"")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3" s="148" t="s">
        <v>197</v>
      </c>
      <c r="BB23" s="166">
        <v>45077</v>
      </c>
      <c r="BC23" s="148" t="s">
        <v>224</v>
      </c>
      <c r="BD23" s="146" t="s">
        <v>383</v>
      </c>
      <c r="BE23" s="146" t="s">
        <v>384</v>
      </c>
      <c r="BF23" s="45"/>
      <c r="BG23" s="45"/>
      <c r="BH23" s="45"/>
      <c r="BI23" s="45"/>
      <c r="BJ23" s="45"/>
      <c r="BK23" s="45"/>
      <c r="BL23" s="45"/>
      <c r="BM23" s="45"/>
      <c r="BN23" s="45"/>
      <c r="BO23" s="45"/>
      <c r="BP23" s="45"/>
      <c r="BQ23" s="45"/>
      <c r="BR23" s="45"/>
      <c r="BS23" s="45"/>
      <c r="BT23" s="45"/>
      <c r="BU23" s="45"/>
      <c r="BV23" s="45"/>
      <c r="BW23" s="45"/>
      <c r="BX23" s="45"/>
    </row>
    <row r="24" spans="1:76" s="68" customFormat="1" ht="207.75" customHeight="1" x14ac:dyDescent="0.2">
      <c r="A24" s="76">
        <v>15</v>
      </c>
      <c r="B24" s="74" t="s">
        <v>59</v>
      </c>
      <c r="C24" s="74" t="s">
        <v>305</v>
      </c>
      <c r="D24" s="100" t="s">
        <v>277</v>
      </c>
      <c r="E24" s="100" t="s">
        <v>389</v>
      </c>
      <c r="F24" s="75" t="s">
        <v>390</v>
      </c>
      <c r="G24" s="74" t="s">
        <v>174</v>
      </c>
      <c r="H24" s="75" t="s">
        <v>391</v>
      </c>
      <c r="I24" s="75" t="s">
        <v>392</v>
      </c>
      <c r="J24" s="107" t="s">
        <v>336</v>
      </c>
      <c r="K24" s="100" t="s">
        <v>320</v>
      </c>
      <c r="L24" s="75" t="s">
        <v>362</v>
      </c>
      <c r="M24" s="116" t="s">
        <v>195</v>
      </c>
      <c r="N24" s="75" t="s">
        <v>393</v>
      </c>
      <c r="O24" s="116" t="s">
        <v>149</v>
      </c>
      <c r="P24" s="100" t="s">
        <v>394</v>
      </c>
      <c r="Q24" s="76" t="s">
        <v>195</v>
      </c>
      <c r="R24" s="76" t="s">
        <v>325</v>
      </c>
      <c r="S24" s="100" t="s">
        <v>388</v>
      </c>
      <c r="T24" s="100" t="s">
        <v>388</v>
      </c>
      <c r="U24" s="77" t="s">
        <v>328</v>
      </c>
      <c r="V24" s="77" t="s">
        <v>328</v>
      </c>
      <c r="W24" s="77" t="s">
        <v>328</v>
      </c>
      <c r="X24" s="77" t="s">
        <v>328</v>
      </c>
      <c r="Y24" s="77" t="s">
        <v>328</v>
      </c>
      <c r="Z24" s="77" t="s">
        <v>329</v>
      </c>
      <c r="AA24" s="77" t="s">
        <v>195</v>
      </c>
      <c r="AB24" s="77" t="s">
        <v>195</v>
      </c>
      <c r="AC24" s="138" t="s">
        <v>195</v>
      </c>
      <c r="AD24" s="142" t="s">
        <v>89</v>
      </c>
      <c r="AE24" s="142" t="s">
        <v>130</v>
      </c>
      <c r="AF24" s="136" t="s">
        <v>90</v>
      </c>
      <c r="AG24" s="77" t="s">
        <v>101</v>
      </c>
      <c r="AH24" s="136" t="str">
        <f t="shared" si="10"/>
        <v>BAJO</v>
      </c>
      <c r="AI24" s="78" t="s">
        <v>114</v>
      </c>
      <c r="AJ24" s="77" t="s">
        <v>117</v>
      </c>
      <c r="AK24" s="136" t="s">
        <v>92</v>
      </c>
      <c r="AL24" s="80" t="str">
        <f>VLOOKUP($AD24,[2]Tipologías!$B$3:$G$17,2,FALSE)</f>
        <v>BAJO</v>
      </c>
      <c r="AM24" s="80">
        <f t="shared" si="2"/>
        <v>1</v>
      </c>
      <c r="AN24" s="80" t="str">
        <f>VLOOKUP($AE24,[2]Tipologías!$A$21:$C$24,3,FALSE)</f>
        <v>BAJO</v>
      </c>
      <c r="AO24" s="80">
        <f t="shared" si="3"/>
        <v>1</v>
      </c>
      <c r="AP24" s="80">
        <f>VLOOKUP($AI24,[2]Tipologías!$A$38:$B$42,2,FALSE)</f>
        <v>1.5</v>
      </c>
      <c r="AQ24" s="80">
        <f>VLOOKUP($AJ24,[2]Tipologías!$A$46:$B$53,2,FALSE)</f>
        <v>2.5</v>
      </c>
      <c r="AR24" s="80" t="str">
        <f t="shared" ref="AR24:AR25" si="11">IF(MAX(AM24,AO24)=3,"ALTO",IF(MAX(AM24,AO24)=2,"MEDIO",IF(MAX(AM24,AO24)=1,"BAJO","  ")))</f>
        <v>BAJO</v>
      </c>
      <c r="AS24" s="80" t="str">
        <f>VLOOKUP($AG24,[2]Tipologías!$A$29:$C$33,3,FALSE)</f>
        <v>BAJO</v>
      </c>
      <c r="AT24" s="80" t="str">
        <f t="shared" ref="AT24:AT25" si="12">IF(SUM($AP24,$AQ24)&gt;=3,"ALTO",IF(SUM($AP24,$AQ24)&lt;2,"BAJO","MEDIO"))</f>
        <v>ALTO</v>
      </c>
      <c r="AU24" s="80" t="str">
        <f t="shared" ref="AU24:AU25" si="13">_xlfn.IFNA(IF(AND(AR24="BAJO",AS24="BAJO",AT24="BAJO"),"BAJO",IF(AND(AR24="ALTO",AS24="ALTO",AT24="ALTO"),"ALTO",IF(COUNTIF(AR24:AT24,"ALTO")=2,"ALTO","MEDIO")))," ")</f>
        <v>MEDIO</v>
      </c>
      <c r="AV24" s="80" t="str">
        <f>_xlfn.IFNA(VLOOKUP(AD24,[2]Tipologías!$B$3:$G$17,4,0),"")</f>
        <v>INFORMACIÓN PÚBLICA</v>
      </c>
      <c r="AW24" s="80" t="str">
        <f t="shared" ref="AW24:AW25" si="14">IF(AV24="INFORMACIÓN PÚBLICA","IPB",IF(AV24="INFORMACIÓN PÚBLICA CLASIFICADA","IPC",IF(AV24="INFORMACIÓN PÚBLICA RESERVADA","IPR",IF(AV24="",""))))</f>
        <v>IPB</v>
      </c>
      <c r="AX24" s="80" t="str">
        <f>_xlfn.IFNA(VLOOKUP(AD24,[2]Tipologías!$B$3:$G$17,3,0),"")</f>
        <v>LEY 1712 DE 2014 LEY DE TRANSPARENCIA Y DERECHO DE ACCESO A LA INFORMACIÓN. ARTÍCULO 6 DEFINICIONES LITERAL B.</v>
      </c>
      <c r="AY24" s="80" t="str">
        <f>_xlfn.IFNA(VLOOKUP(AD24,[2]Tipologías!$B$3:$G$17,5,0),"")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24" s="80" t="str">
        <f>_xlfn.IFNA(VLOOKUP(AD24,[2]Tipologías!$B$3:$G$17,6,0),"")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24" s="148" t="s">
        <v>197</v>
      </c>
      <c r="BB24" s="166">
        <v>45077</v>
      </c>
      <c r="BC24" s="148" t="s">
        <v>224</v>
      </c>
      <c r="BD24" s="146" t="s">
        <v>383</v>
      </c>
      <c r="BE24" s="146" t="s">
        <v>384</v>
      </c>
      <c r="BF24" s="45"/>
      <c r="BG24" s="45"/>
      <c r="BH24" s="45"/>
      <c r="BI24" s="45"/>
      <c r="BJ24" s="45"/>
      <c r="BK24" s="45"/>
      <c r="BL24" s="45"/>
      <c r="BM24" s="45"/>
      <c r="BN24" s="45"/>
      <c r="BO24" s="45"/>
      <c r="BP24" s="45"/>
      <c r="BQ24" s="45"/>
      <c r="BR24" s="45"/>
      <c r="BS24" s="45"/>
      <c r="BT24" s="45"/>
      <c r="BU24" s="45"/>
      <c r="BV24" s="45"/>
      <c r="BW24" s="45"/>
      <c r="BX24" s="45"/>
    </row>
    <row r="25" spans="1:76" s="67" customFormat="1" ht="207.75" customHeight="1" x14ac:dyDescent="0.2">
      <c r="A25" s="76">
        <v>16</v>
      </c>
      <c r="B25" s="74" t="s">
        <v>59</v>
      </c>
      <c r="C25" s="74" t="s">
        <v>305</v>
      </c>
      <c r="D25" s="100" t="s">
        <v>277</v>
      </c>
      <c r="E25" s="100" t="s">
        <v>395</v>
      </c>
      <c r="F25" s="75" t="s">
        <v>396</v>
      </c>
      <c r="G25" s="74" t="s">
        <v>139</v>
      </c>
      <c r="H25" s="75" t="s">
        <v>277</v>
      </c>
      <c r="I25" s="75" t="s">
        <v>277</v>
      </c>
      <c r="J25" s="107" t="s">
        <v>397</v>
      </c>
      <c r="K25" s="100" t="s">
        <v>320</v>
      </c>
      <c r="L25" s="75" t="s">
        <v>321</v>
      </c>
      <c r="M25" s="75" t="s">
        <v>398</v>
      </c>
      <c r="N25" s="75" t="s">
        <v>195</v>
      </c>
      <c r="O25" s="116" t="s">
        <v>151</v>
      </c>
      <c r="P25" s="100" t="s">
        <v>195</v>
      </c>
      <c r="Q25" s="76" t="s">
        <v>195</v>
      </c>
      <c r="R25" s="76" t="s">
        <v>325</v>
      </c>
      <c r="S25" s="100" t="s">
        <v>195</v>
      </c>
      <c r="T25" s="100" t="s">
        <v>195</v>
      </c>
      <c r="U25" s="77" t="s">
        <v>328</v>
      </c>
      <c r="V25" s="77" t="s">
        <v>328</v>
      </c>
      <c r="W25" s="77" t="s">
        <v>328</v>
      </c>
      <c r="X25" s="77" t="s">
        <v>329</v>
      </c>
      <c r="Y25" s="77" t="s">
        <v>329</v>
      </c>
      <c r="Z25" s="77" t="s">
        <v>329</v>
      </c>
      <c r="AA25" s="77" t="s">
        <v>195</v>
      </c>
      <c r="AB25" s="77" t="s">
        <v>195</v>
      </c>
      <c r="AC25" s="138" t="s">
        <v>195</v>
      </c>
      <c r="AD25" s="142" t="s">
        <v>216</v>
      </c>
      <c r="AE25" s="142" t="s">
        <v>134</v>
      </c>
      <c r="AF25" s="136" t="s">
        <v>92</v>
      </c>
      <c r="AG25" s="77" t="s">
        <v>101</v>
      </c>
      <c r="AH25" s="136" t="str">
        <f t="shared" si="10"/>
        <v>BAJO</v>
      </c>
      <c r="AI25" s="78" t="s">
        <v>114</v>
      </c>
      <c r="AJ25" s="77" t="s">
        <v>122</v>
      </c>
      <c r="AK25" s="136" t="s">
        <v>103</v>
      </c>
      <c r="AL25" s="80" t="str">
        <f>VLOOKUP($AD25,[2]Tipologías!$B$3:$G$17,2,FALSE)</f>
        <v>ALTO</v>
      </c>
      <c r="AM25" s="80">
        <f t="shared" si="2"/>
        <v>3</v>
      </c>
      <c r="AN25" s="80" t="str">
        <f>VLOOKUP($AE25,[2]Tipologías!$A$21:$C$24,3,FALSE)</f>
        <v>ALTO</v>
      </c>
      <c r="AO25" s="80">
        <f t="shared" si="3"/>
        <v>3</v>
      </c>
      <c r="AP25" s="80">
        <f>VLOOKUP($AI25,[2]Tipologías!$A$38:$B$42,2,FALSE)</f>
        <v>1.5</v>
      </c>
      <c r="AQ25" s="80">
        <f>VLOOKUP($AJ25,[2]Tipologías!$A$46:$B$53,2,FALSE)</f>
        <v>1</v>
      </c>
      <c r="AR25" s="80" t="str">
        <f t="shared" si="11"/>
        <v>ALTO</v>
      </c>
      <c r="AS25" s="80" t="str">
        <f>VLOOKUP($AG25,[2]Tipologías!$A$29:$C$33,3,FALSE)</f>
        <v>BAJO</v>
      </c>
      <c r="AT25" s="80" t="str">
        <f t="shared" si="12"/>
        <v>MEDIO</v>
      </c>
      <c r="AU25" s="80" t="str">
        <f t="shared" si="13"/>
        <v>MEDIO</v>
      </c>
      <c r="AV25" s="80" t="str">
        <f>_xlfn.IFNA(VLOOKUP(AD25,[2]Tipologías!$B$3:$G$17,4,0),"")</f>
        <v>INFORMACIÓN PÚBLICA RESERVADA</v>
      </c>
      <c r="AW25" s="80" t="str">
        <f t="shared" si="14"/>
        <v>IPR</v>
      </c>
      <c r="AX25" s="80" t="str">
        <f>_xlfn.IFNA(VLOOKUP(AD25,[2]Tipologías!$B$3:$G$17,3,0),"")</f>
        <v>LEY 1712   DE 2014 ARTÍCULO 19 LITERAL H "LA ESTABILIDAD MACROECONÓMICA Y FINANCIERA DEL PAÍS."</v>
      </c>
      <c r="AY25" s="80" t="str">
        <f>_xlfn.IFNA(VLOOKUP(AD25,[2]Tipologías!$B$3:$G$17,5,0),"")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25" s="80" t="str">
        <f>_xlfn.IFNA(VLOOKUP(AD25,[2]Tipologías!$B$3:$G$17,6,0),"")</f>
        <v xml:space="preserve">LEY 1712 DE 2014 ARTÍCULO 19  </v>
      </c>
      <c r="BA25" s="148" t="s">
        <v>196</v>
      </c>
      <c r="BB25" s="166">
        <v>45077</v>
      </c>
      <c r="BC25" s="148" t="s">
        <v>201</v>
      </c>
      <c r="BD25" s="146" t="s">
        <v>383</v>
      </c>
      <c r="BE25" s="146" t="s">
        <v>384</v>
      </c>
      <c r="BF25" s="45"/>
      <c r="BG25" s="45"/>
      <c r="BH25" s="45"/>
      <c r="BI25" s="45"/>
      <c r="BJ25" s="45"/>
      <c r="BK25" s="45"/>
      <c r="BL25" s="45"/>
      <c r="BM25" s="45"/>
      <c r="BN25" s="45"/>
      <c r="BO25" s="45"/>
      <c r="BP25" s="45"/>
      <c r="BQ25" s="45"/>
      <c r="BR25" s="45"/>
      <c r="BS25" s="45"/>
      <c r="BT25" s="45"/>
      <c r="BU25" s="45"/>
      <c r="BV25" s="45"/>
      <c r="BW25" s="45"/>
      <c r="BX25" s="45"/>
    </row>
    <row r="26" spans="1:76" s="67" customFormat="1" ht="207.75" customHeight="1" x14ac:dyDescent="0.2">
      <c r="A26" s="76">
        <v>17</v>
      </c>
      <c r="B26" s="74" t="s">
        <v>59</v>
      </c>
      <c r="C26" s="74" t="s">
        <v>302</v>
      </c>
      <c r="D26" s="100" t="s">
        <v>272</v>
      </c>
      <c r="E26" s="109" t="s">
        <v>399</v>
      </c>
      <c r="F26" s="100" t="s">
        <v>400</v>
      </c>
      <c r="G26" s="74" t="s">
        <v>205</v>
      </c>
      <c r="H26" s="100" t="s">
        <v>401</v>
      </c>
      <c r="I26" s="100" t="s">
        <v>402</v>
      </c>
      <c r="J26" s="107" t="s">
        <v>319</v>
      </c>
      <c r="K26" s="100" t="s">
        <v>320</v>
      </c>
      <c r="L26" s="111" t="s">
        <v>321</v>
      </c>
      <c r="M26" s="100" t="s">
        <v>403</v>
      </c>
      <c r="N26" s="100" t="s">
        <v>404</v>
      </c>
      <c r="O26" s="100" t="s">
        <v>144</v>
      </c>
      <c r="P26" s="100" t="s">
        <v>405</v>
      </c>
      <c r="Q26" s="76" t="s">
        <v>325</v>
      </c>
      <c r="R26" s="76" t="s">
        <v>325</v>
      </c>
      <c r="S26" s="109" t="s">
        <v>406</v>
      </c>
      <c r="T26" s="109" t="s">
        <v>407</v>
      </c>
      <c r="U26" s="77" t="s">
        <v>328</v>
      </c>
      <c r="V26" s="77" t="s">
        <v>328</v>
      </c>
      <c r="W26" s="77" t="s">
        <v>328</v>
      </c>
      <c r="X26" s="77" t="s">
        <v>328</v>
      </c>
      <c r="Y26" s="77" t="s">
        <v>328</v>
      </c>
      <c r="Z26" s="77" t="s">
        <v>328</v>
      </c>
      <c r="AA26" s="77" t="s">
        <v>328</v>
      </c>
      <c r="AB26" s="77" t="s">
        <v>328</v>
      </c>
      <c r="AC26" s="138" t="s">
        <v>195</v>
      </c>
      <c r="AD26" s="142" t="s">
        <v>206</v>
      </c>
      <c r="AE26" s="142" t="s">
        <v>134</v>
      </c>
      <c r="AF26" s="112" t="str">
        <f>AR26</f>
        <v>ALTO</v>
      </c>
      <c r="AG26" s="77" t="s">
        <v>104</v>
      </c>
      <c r="AH26" s="136" t="str">
        <f t="shared" si="10"/>
        <v>ALTO</v>
      </c>
      <c r="AI26" s="78" t="s">
        <v>111</v>
      </c>
      <c r="AJ26" s="77" t="s">
        <v>121</v>
      </c>
      <c r="AK26" s="136" t="str">
        <f t="shared" ref="AK26:AK33" si="15">_xlfn.IFNA((AT26),"")</f>
        <v>BAJO</v>
      </c>
      <c r="AL26" s="80" t="str">
        <f>VLOOKUP($AD26,[3]Tipologías!$B$3:$G$17,2,FALSE)</f>
        <v>ALTO</v>
      </c>
      <c r="AM26" s="80">
        <f t="shared" si="2"/>
        <v>3</v>
      </c>
      <c r="AN26" s="80" t="str">
        <f>VLOOKUP($AE26,[3]Tipologías!$A$21:$C$24,3,FALSE)</f>
        <v>ALTO</v>
      </c>
      <c r="AO26" s="80">
        <f t="shared" si="3"/>
        <v>3</v>
      </c>
      <c r="AP26" s="80">
        <f>VLOOKUP($AI26,[3]Tipologías!$A$38:$B$42,2,FALSE)</f>
        <v>0.5</v>
      </c>
      <c r="AQ26" s="80">
        <f>VLOOKUP($AJ26,[3]Tipologías!$A$46:$B$53,2,FALSE)</f>
        <v>1.25</v>
      </c>
      <c r="AR26" s="80" t="str">
        <f>IF(MAX(AM26,AO26)=3,"ALTO",IF(MAX(AM26,AO26)=2,"MEDIO",IF(MAX(AM26,AO26)=1,"BAJO","  ")))</f>
        <v>ALTO</v>
      </c>
      <c r="AS26" s="80" t="str">
        <f>VLOOKUP($AG26,[3]Tipologías!$A$29:$C$33,3,FALSE)</f>
        <v>ALTO</v>
      </c>
      <c r="AT26" s="80" t="str">
        <f>IF(SUM($AP26,$AQ26)&gt;=3,"ALTO",IF(SUM($AP26,$AQ26)&lt;2,"BAJO","MEDIO"))</f>
        <v>BAJO</v>
      </c>
      <c r="AU26" s="80" t="str">
        <f>_xlfn.IFNA(IF(AND(AR26="BAJO",AS26="BAJO",AT26="BAJO"),"BAJO",IF(AND(AR26="ALTO",AS26="ALTO",AT26="ALTO"),"ALTO",IF(COUNTIF(AR26:AT26,"ALTO")=2,"ALTO","MEDIO")))," ")</f>
        <v>ALTO</v>
      </c>
      <c r="AV26" s="80" t="str">
        <f>_xlfn.IFNA(VLOOKUP(AD26,[3]Tipologías!$B$3:$G$17,4,0),"")</f>
        <v>INFORMACIÓN PÚBLICA CLASIFICADA</v>
      </c>
      <c r="AW26" s="80" t="str">
        <f>IF(AV26="INFORMACIÓN PÚBLICA","IPB",IF(AV26="INFORMACIÓN PÚBLICA CLASIFICADA","IPC",IF(AV26="INFORMACIÓN PÚBLICA RESERVADA","IPR",IF(AV26="",""))))</f>
        <v>IPC</v>
      </c>
      <c r="AX26" s="80" t="str">
        <f>_xlfn.IFNA(VLOOKUP(AD26,[3]Tipologías!$B$3:$G$17,3,0),"")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6" s="80" t="str">
        <f>_xlfn.IFNA(VLOOKUP(AD26,[3]Tipologías!$B$3:$G$17,5,0),"")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6" s="80" t="str">
        <f>_xlfn.IFNA(VLOOKUP(AD26,[3]Tipologías!$B$3:$G$17,6,0),"")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6" s="148" t="s">
        <v>197</v>
      </c>
      <c r="BB26" s="166">
        <v>45077</v>
      </c>
      <c r="BC26" s="148" t="s">
        <v>224</v>
      </c>
      <c r="BD26" s="146" t="s">
        <v>408</v>
      </c>
      <c r="BE26" s="146" t="s">
        <v>409</v>
      </c>
      <c r="BF26" s="45"/>
      <c r="BG26" s="45"/>
      <c r="BH26" s="45"/>
      <c r="BI26" s="45"/>
      <c r="BJ26" s="45"/>
      <c r="BK26" s="45"/>
      <c r="BL26" s="45"/>
      <c r="BM26" s="45"/>
      <c r="BN26" s="45"/>
      <c r="BO26" s="45"/>
      <c r="BP26" s="45"/>
      <c r="BQ26" s="45"/>
      <c r="BR26" s="45"/>
      <c r="BS26" s="45"/>
      <c r="BT26" s="45"/>
      <c r="BU26" s="45"/>
      <c r="BV26" s="45"/>
      <c r="BW26" s="45"/>
      <c r="BX26" s="45"/>
    </row>
    <row r="27" spans="1:76" s="67" customFormat="1" ht="207.75" customHeight="1" x14ac:dyDescent="0.2">
      <c r="A27" s="76">
        <v>18</v>
      </c>
      <c r="B27" s="74" t="s">
        <v>59</v>
      </c>
      <c r="C27" s="74" t="s">
        <v>302</v>
      </c>
      <c r="D27" s="100" t="s">
        <v>272</v>
      </c>
      <c r="E27" s="109" t="s">
        <v>410</v>
      </c>
      <c r="F27" s="109" t="s">
        <v>411</v>
      </c>
      <c r="G27" s="74" t="s">
        <v>205</v>
      </c>
      <c r="H27" s="100" t="s">
        <v>401</v>
      </c>
      <c r="I27" s="100" t="s">
        <v>402</v>
      </c>
      <c r="J27" s="107" t="s">
        <v>319</v>
      </c>
      <c r="K27" s="100" t="s">
        <v>320</v>
      </c>
      <c r="L27" s="111" t="s">
        <v>321</v>
      </c>
      <c r="M27" s="100" t="s">
        <v>412</v>
      </c>
      <c r="N27" s="100" t="s">
        <v>404</v>
      </c>
      <c r="O27" s="100" t="s">
        <v>150</v>
      </c>
      <c r="P27" s="109" t="s">
        <v>405</v>
      </c>
      <c r="Q27" s="113" t="s">
        <v>325</v>
      </c>
      <c r="R27" s="113" t="s">
        <v>325</v>
      </c>
      <c r="S27" s="109" t="s">
        <v>413</v>
      </c>
      <c r="T27" s="109" t="s">
        <v>414</v>
      </c>
      <c r="U27" s="108" t="s">
        <v>329</v>
      </c>
      <c r="V27" s="108" t="s">
        <v>195</v>
      </c>
      <c r="W27" s="108" t="s">
        <v>195</v>
      </c>
      <c r="X27" s="108" t="s">
        <v>195</v>
      </c>
      <c r="Y27" s="108" t="s">
        <v>195</v>
      </c>
      <c r="Z27" s="108" t="s">
        <v>195</v>
      </c>
      <c r="AA27" s="108" t="s">
        <v>195</v>
      </c>
      <c r="AB27" s="108" t="s">
        <v>195</v>
      </c>
      <c r="AC27" s="114" t="s">
        <v>195</v>
      </c>
      <c r="AD27" s="142" t="s">
        <v>89</v>
      </c>
      <c r="AE27" s="142" t="s">
        <v>134</v>
      </c>
      <c r="AF27" s="112" t="str">
        <f>AR27</f>
        <v>ALTO</v>
      </c>
      <c r="AG27" s="77" t="s">
        <v>101</v>
      </c>
      <c r="AH27" s="136" t="str">
        <f t="shared" si="10"/>
        <v>BAJO</v>
      </c>
      <c r="AI27" s="78" t="s">
        <v>111</v>
      </c>
      <c r="AJ27" s="77" t="s">
        <v>122</v>
      </c>
      <c r="AK27" s="136" t="str">
        <f t="shared" si="15"/>
        <v>BAJO</v>
      </c>
      <c r="AL27" s="80" t="str">
        <f>VLOOKUP($AD27,[3]Tipologías!$B$3:$G$17,2,FALSE)</f>
        <v>BAJO</v>
      </c>
      <c r="AM27" s="80">
        <f t="shared" si="2"/>
        <v>1</v>
      </c>
      <c r="AN27" s="80" t="str">
        <f>VLOOKUP($AE27,[3]Tipologías!$A$21:$C$24,3,FALSE)</f>
        <v>ALTO</v>
      </c>
      <c r="AO27" s="80">
        <f t="shared" si="3"/>
        <v>3</v>
      </c>
      <c r="AP27" s="80">
        <f>VLOOKUP($AI27,[3]Tipologías!$A$38:$B$42,2,FALSE)</f>
        <v>0.5</v>
      </c>
      <c r="AQ27" s="80">
        <f>VLOOKUP($AJ27,[3]Tipologías!$A$46:$B$53,2,FALSE)</f>
        <v>1</v>
      </c>
      <c r="AR27" s="80" t="str">
        <f t="shared" ref="AR27:AR33" si="16">IF(MAX(AM27,AO27)=3,"ALTO",IF(MAX(AM27,AO27)=2,"MEDIO",IF(MAX(AM27,AO27)=1,"BAJO","  ")))</f>
        <v>ALTO</v>
      </c>
      <c r="AS27" s="80" t="str">
        <f>VLOOKUP($AG27,[3]Tipologías!$A$29:$C$33,3,FALSE)</f>
        <v>BAJO</v>
      </c>
      <c r="AT27" s="80" t="str">
        <f t="shared" ref="AT27:AT33" si="17">IF(SUM($AP27,$AQ27)&gt;=3,"ALTO",IF(SUM($AP27,$AQ27)&lt;2,"BAJO","MEDIO"))</f>
        <v>BAJO</v>
      </c>
      <c r="AU27" s="80" t="str">
        <f t="shared" ref="AU27:AU33" si="18">_xlfn.IFNA(IF(AND(AR27="BAJO",AS27="BAJO",AT27="BAJO"),"BAJO",IF(AND(AR27="ALTO",AS27="ALTO",AT27="ALTO"),"ALTO",IF(COUNTIF(AR27:AT27,"ALTO")=2,"ALTO","MEDIO")))," ")</f>
        <v>MEDIO</v>
      </c>
      <c r="AV27" s="80" t="str">
        <f>_xlfn.IFNA(VLOOKUP(AD27,[3]Tipologías!$B$3:$G$17,4,0),"")</f>
        <v>INFORMACIÓN PÚBLICA</v>
      </c>
      <c r="AW27" s="80" t="str">
        <f t="shared" ref="AW27:AW33" si="19">IF(AV27="INFORMACIÓN PÚBLICA","IPB",IF(AV27="INFORMACIÓN PÚBLICA CLASIFICADA","IPC",IF(AV27="INFORMACIÓN PÚBLICA RESERVADA","IPR",IF(AV27="",""))))</f>
        <v>IPB</v>
      </c>
      <c r="AX27" s="80" t="str">
        <f>_xlfn.IFNA(VLOOKUP(AD27,[3]Tipologías!$B$3:$G$17,3,0),"")</f>
        <v>LEY 1712 DE 2014 LEY DE TRANSPARENCIA Y DERECHO DE ACCESO A LA INFORMACIÓN. ARTÍCULO 6 DEFINICIONES LITERAL B.</v>
      </c>
      <c r="AY27" s="80" t="str">
        <f>_xlfn.IFNA(VLOOKUP(AD27,[3]Tipologías!$B$3:$G$17,5,0),"")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27" s="80" t="str">
        <f>_xlfn.IFNA(VLOOKUP(AD27,[3]Tipologías!$B$3:$G$17,6,0),"")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27" s="148" t="s">
        <v>197</v>
      </c>
      <c r="BB27" s="166">
        <v>45077</v>
      </c>
      <c r="BC27" s="148" t="s">
        <v>201</v>
      </c>
      <c r="BD27" s="146" t="s">
        <v>408</v>
      </c>
      <c r="BE27" s="146" t="s">
        <v>409</v>
      </c>
      <c r="BF27" s="45"/>
      <c r="BG27" s="45"/>
      <c r="BH27" s="45"/>
      <c r="BI27" s="45"/>
      <c r="BJ27" s="45"/>
      <c r="BK27" s="45"/>
      <c r="BL27" s="45"/>
      <c r="BM27" s="45"/>
      <c r="BN27" s="45"/>
      <c r="BO27" s="45"/>
      <c r="BP27" s="45"/>
      <c r="BQ27" s="45"/>
      <c r="BR27" s="45"/>
      <c r="BS27" s="45"/>
      <c r="BT27" s="45"/>
      <c r="BU27" s="45"/>
      <c r="BV27" s="45"/>
      <c r="BW27" s="45"/>
      <c r="BX27" s="45"/>
    </row>
    <row r="28" spans="1:76" s="68" customFormat="1" ht="207.75" customHeight="1" x14ac:dyDescent="0.2">
      <c r="A28" s="76">
        <v>19</v>
      </c>
      <c r="B28" s="74" t="s">
        <v>59</v>
      </c>
      <c r="C28" s="74" t="s">
        <v>302</v>
      </c>
      <c r="D28" s="100" t="s">
        <v>272</v>
      </c>
      <c r="E28" s="109" t="s">
        <v>410</v>
      </c>
      <c r="F28" s="115" t="s">
        <v>415</v>
      </c>
      <c r="G28" s="74" t="s">
        <v>139</v>
      </c>
      <c r="H28" s="100" t="s">
        <v>401</v>
      </c>
      <c r="I28" s="109" t="s">
        <v>410</v>
      </c>
      <c r="J28" s="107" t="s">
        <v>397</v>
      </c>
      <c r="K28" s="100" t="s">
        <v>320</v>
      </c>
      <c r="L28" s="111" t="s">
        <v>321</v>
      </c>
      <c r="M28" s="100" t="s">
        <v>416</v>
      </c>
      <c r="N28" s="100" t="s">
        <v>417</v>
      </c>
      <c r="O28" s="100" t="s">
        <v>151</v>
      </c>
      <c r="P28" s="100" t="s">
        <v>195</v>
      </c>
      <c r="Q28" s="76" t="s">
        <v>325</v>
      </c>
      <c r="R28" s="76" t="s">
        <v>195</v>
      </c>
      <c r="S28" s="113" t="s">
        <v>195</v>
      </c>
      <c r="T28" s="113" t="s">
        <v>195</v>
      </c>
      <c r="U28" s="77" t="s">
        <v>329</v>
      </c>
      <c r="V28" s="77" t="s">
        <v>195</v>
      </c>
      <c r="W28" s="77" t="s">
        <v>195</v>
      </c>
      <c r="X28" s="77" t="s">
        <v>195</v>
      </c>
      <c r="Y28" s="77" t="s">
        <v>195</v>
      </c>
      <c r="Z28" s="77" t="s">
        <v>195</v>
      </c>
      <c r="AA28" s="77" t="s">
        <v>195</v>
      </c>
      <c r="AB28" s="77" t="s">
        <v>195</v>
      </c>
      <c r="AC28" s="138" t="s">
        <v>195</v>
      </c>
      <c r="AD28" s="142" t="s">
        <v>208</v>
      </c>
      <c r="AE28" s="142" t="s">
        <v>132</v>
      </c>
      <c r="AF28" s="136" t="str">
        <f t="shared" ref="AF28:AF29" si="20">AR28</f>
        <v>ALTO</v>
      </c>
      <c r="AG28" s="77" t="s">
        <v>104</v>
      </c>
      <c r="AH28" s="136" t="str">
        <f t="shared" ref="AH28:AH31" si="21">_xlfn.IFNA((AS28),"")</f>
        <v>ALTO</v>
      </c>
      <c r="AI28" s="78" t="s">
        <v>111</v>
      </c>
      <c r="AJ28" s="77" t="s">
        <v>120</v>
      </c>
      <c r="AK28" s="136" t="str">
        <f t="shared" si="15"/>
        <v>MEDIO</v>
      </c>
      <c r="AL28" s="80" t="str">
        <f>VLOOKUP($AD28,[3]Tipologías!$B$3:$G$17,2,FALSE)</f>
        <v>ALTO</v>
      </c>
      <c r="AM28" s="80">
        <f t="shared" si="2"/>
        <v>3</v>
      </c>
      <c r="AN28" s="80" t="str">
        <f>VLOOKUP($AE28,[3]Tipologías!$A$21:$C$24,3,FALSE)</f>
        <v>MEDIO</v>
      </c>
      <c r="AO28" s="80">
        <f t="shared" si="3"/>
        <v>2</v>
      </c>
      <c r="AP28" s="80">
        <f>VLOOKUP($AI28,[3]Tipologías!$A$38:$B$42,2,FALSE)</f>
        <v>0.5</v>
      </c>
      <c r="AQ28" s="80">
        <f>VLOOKUP($AJ28,[3]Tipologías!$A$46:$B$53,2,FALSE)</f>
        <v>1.5</v>
      </c>
      <c r="AR28" s="80" t="str">
        <f t="shared" si="16"/>
        <v>ALTO</v>
      </c>
      <c r="AS28" s="80" t="str">
        <f>VLOOKUP($AG28,[3]Tipologías!$A$29:$C$33,3,FALSE)</f>
        <v>ALTO</v>
      </c>
      <c r="AT28" s="80" t="str">
        <f t="shared" si="17"/>
        <v>MEDIO</v>
      </c>
      <c r="AU28" s="80" t="str">
        <f t="shared" si="18"/>
        <v>ALTO</v>
      </c>
      <c r="AV28" s="80" t="str">
        <f>_xlfn.IFNA(VLOOKUP(AD28,[3]Tipologías!$B$3:$G$17,4,0),"")</f>
        <v>INFORMACIÓN PÚBLICA CLASIFICADA</v>
      </c>
      <c r="AW28" s="80" t="str">
        <f t="shared" si="19"/>
        <v>IPC</v>
      </c>
      <c r="AX28" s="80" t="str">
        <f>_xlfn.IFNA(VLOOKUP(AD28,[3]Tipologías!$B$3:$G$17,3,0),"")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8" s="80" t="str">
        <f>_xlfn.IFNA(VLOOKUP(AD28,[3]Tipologías!$B$3:$G$17,5,0),"")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8" s="80" t="str">
        <f>_xlfn.IFNA(VLOOKUP(AD28,[3]Tipologías!$B$3:$G$17,6,0),"")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8" s="148" t="s">
        <v>197</v>
      </c>
      <c r="BB28" s="166">
        <v>45077</v>
      </c>
      <c r="BC28" s="148" t="s">
        <v>224</v>
      </c>
      <c r="BD28" s="146" t="s">
        <v>408</v>
      </c>
      <c r="BE28" s="146" t="s">
        <v>409</v>
      </c>
      <c r="BF28" s="45"/>
      <c r="BG28" s="45"/>
      <c r="BH28" s="45"/>
      <c r="BI28" s="45"/>
      <c r="BJ28" s="45"/>
      <c r="BK28" s="45"/>
      <c r="BL28" s="45"/>
      <c r="BM28" s="45"/>
      <c r="BN28" s="45"/>
      <c r="BO28" s="45"/>
      <c r="BP28" s="45"/>
      <c r="BQ28" s="45"/>
      <c r="BR28" s="45"/>
      <c r="BS28" s="45"/>
      <c r="BT28" s="45"/>
      <c r="BU28" s="45"/>
      <c r="BV28" s="45"/>
      <c r="BW28" s="45"/>
      <c r="BX28" s="45"/>
    </row>
    <row r="29" spans="1:76" s="67" customFormat="1" ht="207.75" customHeight="1" x14ac:dyDescent="0.2">
      <c r="A29" s="76">
        <v>20</v>
      </c>
      <c r="B29" s="74" t="s">
        <v>59</v>
      </c>
      <c r="C29" s="74" t="s">
        <v>302</v>
      </c>
      <c r="D29" s="100" t="s">
        <v>272</v>
      </c>
      <c r="E29" s="109" t="s">
        <v>410</v>
      </c>
      <c r="F29" s="115" t="s">
        <v>418</v>
      </c>
      <c r="G29" s="74" t="s">
        <v>140</v>
      </c>
      <c r="H29" s="100" t="s">
        <v>401</v>
      </c>
      <c r="I29" s="109" t="s">
        <v>410</v>
      </c>
      <c r="J29" s="107" t="s">
        <v>336</v>
      </c>
      <c r="K29" s="100" t="s">
        <v>320</v>
      </c>
      <c r="L29" s="111" t="s">
        <v>321</v>
      </c>
      <c r="M29" s="100" t="s">
        <v>195</v>
      </c>
      <c r="N29" s="100" t="s">
        <v>417</v>
      </c>
      <c r="O29" s="100" t="s">
        <v>151</v>
      </c>
      <c r="P29" s="109" t="s">
        <v>419</v>
      </c>
      <c r="Q29" s="76" t="s">
        <v>325</v>
      </c>
      <c r="R29" s="76" t="s">
        <v>195</v>
      </c>
      <c r="S29" s="109" t="s">
        <v>195</v>
      </c>
      <c r="T29" s="113" t="s">
        <v>195</v>
      </c>
      <c r="U29" s="108" t="s">
        <v>329</v>
      </c>
      <c r="V29" s="77" t="s">
        <v>195</v>
      </c>
      <c r="W29" s="77" t="s">
        <v>195</v>
      </c>
      <c r="X29" s="77" t="s">
        <v>195</v>
      </c>
      <c r="Y29" s="77" t="s">
        <v>195</v>
      </c>
      <c r="Z29" s="77" t="s">
        <v>195</v>
      </c>
      <c r="AA29" s="77" t="s">
        <v>195</v>
      </c>
      <c r="AB29" s="77" t="s">
        <v>195</v>
      </c>
      <c r="AC29" s="138" t="s">
        <v>195</v>
      </c>
      <c r="AD29" s="142" t="s">
        <v>208</v>
      </c>
      <c r="AE29" s="142" t="s">
        <v>132</v>
      </c>
      <c r="AF29" s="136" t="str">
        <f t="shared" si="20"/>
        <v>ALTO</v>
      </c>
      <c r="AG29" s="77" t="s">
        <v>104</v>
      </c>
      <c r="AH29" s="136" t="str">
        <f t="shared" si="21"/>
        <v>ALTO</v>
      </c>
      <c r="AI29" s="78" t="s">
        <v>111</v>
      </c>
      <c r="AJ29" s="77" t="s">
        <v>120</v>
      </c>
      <c r="AK29" s="136" t="str">
        <f t="shared" si="15"/>
        <v>MEDIO</v>
      </c>
      <c r="AL29" s="80" t="str">
        <f>VLOOKUP($AD29,[3]Tipologías!$B$3:$G$17,2,FALSE)</f>
        <v>ALTO</v>
      </c>
      <c r="AM29" s="80">
        <f t="shared" si="2"/>
        <v>3</v>
      </c>
      <c r="AN29" s="80" t="str">
        <f>VLOOKUP($AE29,[3]Tipologías!$A$21:$C$24,3,FALSE)</f>
        <v>MEDIO</v>
      </c>
      <c r="AO29" s="80">
        <f t="shared" si="3"/>
        <v>2</v>
      </c>
      <c r="AP29" s="80">
        <f>VLOOKUP($AI29,[3]Tipologías!$A$38:$B$42,2,FALSE)</f>
        <v>0.5</v>
      </c>
      <c r="AQ29" s="80">
        <f>VLOOKUP($AJ29,[3]Tipologías!$A$46:$B$53,2,FALSE)</f>
        <v>1.5</v>
      </c>
      <c r="AR29" s="80" t="str">
        <f t="shared" si="16"/>
        <v>ALTO</v>
      </c>
      <c r="AS29" s="80" t="str">
        <f>VLOOKUP($AG29,[3]Tipologías!$A$29:$C$33,3,FALSE)</f>
        <v>ALTO</v>
      </c>
      <c r="AT29" s="80" t="str">
        <f t="shared" si="17"/>
        <v>MEDIO</v>
      </c>
      <c r="AU29" s="80" t="str">
        <f t="shared" si="18"/>
        <v>ALTO</v>
      </c>
      <c r="AV29" s="80" t="str">
        <f>_xlfn.IFNA(VLOOKUP(AD29,[3]Tipologías!$B$3:$G$17,4,0),"")</f>
        <v>INFORMACIÓN PÚBLICA CLASIFICADA</v>
      </c>
      <c r="AW29" s="80" t="str">
        <f t="shared" si="19"/>
        <v>IPC</v>
      </c>
      <c r="AX29" s="80" t="str">
        <f>_xlfn.IFNA(VLOOKUP(AD29,[3]Tipologías!$B$3:$G$17,3,0),"")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29" s="80" t="str">
        <f>_xlfn.IFNA(VLOOKUP(AD29,[3]Tipologías!$B$3:$G$17,5,0),"")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29" s="80" t="str">
        <f>_xlfn.IFNA(VLOOKUP(AD29,[3]Tipologías!$B$3:$G$17,6,0),"")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29" s="148" t="s">
        <v>197</v>
      </c>
      <c r="BB29" s="166">
        <v>45077</v>
      </c>
      <c r="BC29" s="148" t="s">
        <v>224</v>
      </c>
      <c r="BD29" s="146" t="s">
        <v>408</v>
      </c>
      <c r="BE29" s="146" t="s">
        <v>409</v>
      </c>
      <c r="BF29" s="45"/>
      <c r="BG29" s="45"/>
      <c r="BH29" s="45"/>
      <c r="BI29" s="45"/>
      <c r="BJ29" s="45"/>
      <c r="BK29" s="45"/>
      <c r="BL29" s="45"/>
      <c r="BM29" s="45"/>
      <c r="BN29" s="45"/>
      <c r="BO29" s="45"/>
      <c r="BP29" s="45"/>
      <c r="BQ29" s="45"/>
      <c r="BR29" s="45"/>
      <c r="BS29" s="45"/>
      <c r="BT29" s="45"/>
      <c r="BU29" s="45"/>
      <c r="BV29" s="45"/>
      <c r="BW29" s="45"/>
      <c r="BX29" s="45"/>
    </row>
    <row r="30" spans="1:76" s="68" customFormat="1" ht="207.75" customHeight="1" x14ac:dyDescent="0.2">
      <c r="A30" s="76">
        <v>21</v>
      </c>
      <c r="B30" s="74" t="s">
        <v>59</v>
      </c>
      <c r="C30" s="74" t="s">
        <v>302</v>
      </c>
      <c r="D30" s="100" t="s">
        <v>272</v>
      </c>
      <c r="E30" s="109" t="s">
        <v>410</v>
      </c>
      <c r="F30" s="111" t="s">
        <v>420</v>
      </c>
      <c r="G30" s="74" t="s">
        <v>141</v>
      </c>
      <c r="H30" s="100" t="s">
        <v>401</v>
      </c>
      <c r="I30" s="109" t="s">
        <v>410</v>
      </c>
      <c r="J30" s="107" t="s">
        <v>336</v>
      </c>
      <c r="K30" s="100" t="s">
        <v>320</v>
      </c>
      <c r="L30" s="111" t="s">
        <v>321</v>
      </c>
      <c r="M30" s="100" t="s">
        <v>416</v>
      </c>
      <c r="N30" s="100" t="s">
        <v>417</v>
      </c>
      <c r="O30" s="100" t="s">
        <v>144</v>
      </c>
      <c r="P30" s="109" t="s">
        <v>421</v>
      </c>
      <c r="Q30" s="76" t="s">
        <v>325</v>
      </c>
      <c r="R30" s="76" t="s">
        <v>325</v>
      </c>
      <c r="S30" s="109" t="s">
        <v>195</v>
      </c>
      <c r="T30" s="113" t="s">
        <v>195</v>
      </c>
      <c r="U30" s="108" t="s">
        <v>328</v>
      </c>
      <c r="V30" s="77" t="s">
        <v>328</v>
      </c>
      <c r="W30" s="77" t="s">
        <v>329</v>
      </c>
      <c r="X30" s="77" t="s">
        <v>329</v>
      </c>
      <c r="Y30" s="77" t="s">
        <v>329</v>
      </c>
      <c r="Z30" s="77" t="s">
        <v>329</v>
      </c>
      <c r="AA30" s="77" t="s">
        <v>329</v>
      </c>
      <c r="AB30" s="77" t="s">
        <v>195</v>
      </c>
      <c r="AC30" s="138" t="s">
        <v>195</v>
      </c>
      <c r="AD30" s="142" t="s">
        <v>89</v>
      </c>
      <c r="AE30" s="142" t="s">
        <v>130</v>
      </c>
      <c r="AF30" s="136" t="str">
        <f>AR30</f>
        <v>BAJO</v>
      </c>
      <c r="AG30" s="77" t="s">
        <v>102</v>
      </c>
      <c r="AH30" s="136" t="str">
        <f t="shared" si="21"/>
        <v>MEDIO</v>
      </c>
      <c r="AI30" s="78" t="s">
        <v>114</v>
      </c>
      <c r="AJ30" s="77" t="s">
        <v>119</v>
      </c>
      <c r="AK30" s="136" t="str">
        <f t="shared" si="15"/>
        <v>ALTO</v>
      </c>
      <c r="AL30" s="80" t="str">
        <f>VLOOKUP($AD30,[3]Tipologías!$B$3:$G$17,2,FALSE)</f>
        <v>BAJO</v>
      </c>
      <c r="AM30" s="80">
        <f t="shared" si="2"/>
        <v>1</v>
      </c>
      <c r="AN30" s="80" t="str">
        <f>VLOOKUP($AE30,[3]Tipologías!$A$21:$C$24,3,FALSE)</f>
        <v>BAJO</v>
      </c>
      <c r="AO30" s="80">
        <f t="shared" si="3"/>
        <v>1</v>
      </c>
      <c r="AP30" s="80">
        <f>VLOOKUP($AI30,[3]Tipologías!$A$38:$B$42,2,FALSE)</f>
        <v>1.5</v>
      </c>
      <c r="AQ30" s="80">
        <f>VLOOKUP($AJ30,[3]Tipologías!$A$46:$B$53,2,FALSE)</f>
        <v>2</v>
      </c>
      <c r="AR30" s="80" t="str">
        <f t="shared" si="16"/>
        <v>BAJO</v>
      </c>
      <c r="AS30" s="80" t="str">
        <f>VLOOKUP($AG30,[3]Tipologías!$A$29:$C$33,3,FALSE)</f>
        <v>MEDIO</v>
      </c>
      <c r="AT30" s="80" t="str">
        <f t="shared" si="17"/>
        <v>ALTO</v>
      </c>
      <c r="AU30" s="80" t="str">
        <f t="shared" si="18"/>
        <v>MEDIO</v>
      </c>
      <c r="AV30" s="80" t="str">
        <f>_xlfn.IFNA(VLOOKUP(AD30,[3]Tipologías!$B$3:$G$17,4,0),"")</f>
        <v>INFORMACIÓN PÚBLICA</v>
      </c>
      <c r="AW30" s="80" t="str">
        <f t="shared" si="19"/>
        <v>IPB</v>
      </c>
      <c r="AX30" s="80" t="str">
        <f>_xlfn.IFNA(VLOOKUP(AD30,[3]Tipologías!$B$3:$G$17,3,0),"")</f>
        <v>LEY 1712 DE 2014 LEY DE TRANSPARENCIA Y DERECHO DE ACCESO A LA INFORMACIÓN. ARTÍCULO 6 DEFINICIONES LITERAL B.</v>
      </c>
      <c r="AY30" s="80" t="str">
        <f>_xlfn.IFNA(VLOOKUP(AD30,[3]Tipologías!$B$3:$G$17,5,0),"")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0" s="80" t="str">
        <f>_xlfn.IFNA(VLOOKUP(AD30,[3]Tipologías!$B$3:$G$17,6,0),"")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0" s="148" t="s">
        <v>195</v>
      </c>
      <c r="BB30" s="166">
        <v>45077</v>
      </c>
      <c r="BC30" s="148" t="s">
        <v>195</v>
      </c>
      <c r="BD30" s="146" t="s">
        <v>408</v>
      </c>
      <c r="BE30" s="146" t="s">
        <v>409</v>
      </c>
      <c r="BF30" s="45"/>
      <c r="BG30" s="45"/>
      <c r="BH30" s="45"/>
      <c r="BI30" s="45"/>
      <c r="BJ30" s="45"/>
      <c r="BK30" s="45"/>
      <c r="BL30" s="45"/>
      <c r="BM30" s="45"/>
      <c r="BN30" s="45"/>
      <c r="BO30" s="45"/>
      <c r="BP30" s="45"/>
      <c r="BQ30" s="45"/>
      <c r="BR30" s="45"/>
      <c r="BS30" s="45"/>
      <c r="BT30" s="45"/>
      <c r="BU30" s="45"/>
      <c r="BV30" s="45"/>
      <c r="BW30" s="45"/>
      <c r="BX30" s="45"/>
    </row>
    <row r="31" spans="1:76" s="67" customFormat="1" ht="207.75" customHeight="1" x14ac:dyDescent="0.2">
      <c r="A31" s="76">
        <v>22</v>
      </c>
      <c r="B31" s="74" t="s">
        <v>59</v>
      </c>
      <c r="C31" s="74" t="s">
        <v>302</v>
      </c>
      <c r="D31" s="100" t="s">
        <v>272</v>
      </c>
      <c r="E31" s="109" t="s">
        <v>410</v>
      </c>
      <c r="F31" s="75" t="s">
        <v>422</v>
      </c>
      <c r="G31" s="74" t="s">
        <v>174</v>
      </c>
      <c r="H31" s="100" t="s">
        <v>401</v>
      </c>
      <c r="I31" s="109" t="s">
        <v>410</v>
      </c>
      <c r="J31" s="107" t="s">
        <v>336</v>
      </c>
      <c r="K31" s="100" t="s">
        <v>320</v>
      </c>
      <c r="L31" s="111" t="s">
        <v>321</v>
      </c>
      <c r="M31" s="100" t="s">
        <v>416</v>
      </c>
      <c r="N31" s="100" t="s">
        <v>417</v>
      </c>
      <c r="O31" s="100" t="s">
        <v>144</v>
      </c>
      <c r="P31" s="109" t="s">
        <v>419</v>
      </c>
      <c r="Q31" s="76" t="s">
        <v>325</v>
      </c>
      <c r="R31" s="76" t="s">
        <v>325</v>
      </c>
      <c r="S31" s="109" t="s">
        <v>195</v>
      </c>
      <c r="T31" s="113" t="s">
        <v>195</v>
      </c>
      <c r="U31" s="77" t="s">
        <v>328</v>
      </c>
      <c r="V31" s="77" t="s">
        <v>328</v>
      </c>
      <c r="W31" s="77" t="s">
        <v>328</v>
      </c>
      <c r="X31" s="77" t="s">
        <v>328</v>
      </c>
      <c r="Y31" s="77" t="s">
        <v>328</v>
      </c>
      <c r="Z31" s="77" t="s">
        <v>328</v>
      </c>
      <c r="AA31" s="77" t="s">
        <v>328</v>
      </c>
      <c r="AB31" s="77" t="s">
        <v>328</v>
      </c>
      <c r="AC31" s="138" t="s">
        <v>195</v>
      </c>
      <c r="AD31" s="142" t="s">
        <v>206</v>
      </c>
      <c r="AE31" s="142" t="s">
        <v>134</v>
      </c>
      <c r="AF31" s="136" t="str">
        <f t="shared" ref="AF31" si="22">AR31</f>
        <v>ALTO</v>
      </c>
      <c r="AG31" s="77" t="s">
        <v>102</v>
      </c>
      <c r="AH31" s="136" t="str">
        <f t="shared" si="21"/>
        <v>MEDIO</v>
      </c>
      <c r="AI31" s="78" t="s">
        <v>113</v>
      </c>
      <c r="AJ31" s="77" t="s">
        <v>124</v>
      </c>
      <c r="AK31" s="136" t="str">
        <f t="shared" si="15"/>
        <v>BAJO</v>
      </c>
      <c r="AL31" s="80" t="str">
        <f>VLOOKUP($AD31,[3]Tipologías!$B$3:$G$17,2,FALSE)</f>
        <v>ALTO</v>
      </c>
      <c r="AM31" s="80">
        <f t="shared" si="2"/>
        <v>3</v>
      </c>
      <c r="AN31" s="80" t="str">
        <f>VLOOKUP($AE31,[3]Tipologías!$A$21:$C$24,3,FALSE)</f>
        <v>ALTO</v>
      </c>
      <c r="AO31" s="80">
        <f t="shared" si="3"/>
        <v>3</v>
      </c>
      <c r="AP31" s="80">
        <f>VLOOKUP($AI31,[3]Tipologías!$A$38:$B$42,2,FALSE)</f>
        <v>1</v>
      </c>
      <c r="AQ31" s="80">
        <f>VLOOKUP($AJ31,[3]Tipologías!$A$46:$B$53,2,FALSE)</f>
        <v>0.25</v>
      </c>
      <c r="AR31" s="80" t="str">
        <f t="shared" si="16"/>
        <v>ALTO</v>
      </c>
      <c r="AS31" s="80" t="str">
        <f>VLOOKUP($AG31,[3]Tipologías!$A$29:$C$33,3,FALSE)</f>
        <v>MEDIO</v>
      </c>
      <c r="AT31" s="80" t="str">
        <f t="shared" si="17"/>
        <v>BAJO</v>
      </c>
      <c r="AU31" s="80" t="str">
        <f t="shared" si="18"/>
        <v>MEDIO</v>
      </c>
      <c r="AV31" s="80" t="str">
        <f>_xlfn.IFNA(VLOOKUP(AD31,[3]Tipologías!$B$3:$G$17,4,0),"")</f>
        <v>INFORMACIÓN PÚBLICA CLASIFICADA</v>
      </c>
      <c r="AW31" s="80" t="str">
        <f t="shared" si="19"/>
        <v>IPC</v>
      </c>
      <c r="AX31" s="80" t="str">
        <f>_xlfn.IFNA(VLOOKUP(AD31,[3]Tipologías!$B$3:$G$17,3,0),"")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1" s="80" t="str">
        <f>_xlfn.IFNA(VLOOKUP(AD31,[3]Tipologías!$B$3:$G$17,5,0),"")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1" s="80" t="str">
        <f>_xlfn.IFNA(VLOOKUP(AD31,[3]Tipologías!$B$3:$G$17,6,0),"")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1" s="148" t="s">
        <v>197</v>
      </c>
      <c r="BB31" s="166">
        <v>45077</v>
      </c>
      <c r="BC31" s="148" t="s">
        <v>201</v>
      </c>
      <c r="BD31" s="146" t="s">
        <v>408</v>
      </c>
      <c r="BE31" s="146" t="s">
        <v>409</v>
      </c>
      <c r="BF31" s="45"/>
      <c r="BG31" s="45"/>
      <c r="BH31" s="45"/>
      <c r="BI31" s="45"/>
      <c r="BJ31" s="45"/>
      <c r="BK31" s="45"/>
      <c r="BL31" s="45"/>
      <c r="BM31" s="45"/>
      <c r="BN31" s="45"/>
      <c r="BO31" s="45"/>
      <c r="BP31" s="45"/>
      <c r="BQ31" s="45"/>
      <c r="BR31" s="45"/>
      <c r="BS31" s="45"/>
      <c r="BT31" s="45"/>
      <c r="BU31" s="45"/>
      <c r="BV31" s="45"/>
      <c r="BW31" s="45"/>
      <c r="BX31" s="45"/>
    </row>
    <row r="32" spans="1:76" s="67" customFormat="1" ht="207.75" customHeight="1" x14ac:dyDescent="0.2">
      <c r="A32" s="76">
        <v>23</v>
      </c>
      <c r="B32" s="74" t="s">
        <v>59</v>
      </c>
      <c r="C32" s="74" t="s">
        <v>302</v>
      </c>
      <c r="D32" s="100" t="s">
        <v>272</v>
      </c>
      <c r="E32" s="109" t="s">
        <v>355</v>
      </c>
      <c r="F32" s="109" t="s">
        <v>423</v>
      </c>
      <c r="G32" s="74" t="s">
        <v>205</v>
      </c>
      <c r="H32" s="100" t="s">
        <v>401</v>
      </c>
      <c r="I32" s="100" t="s">
        <v>402</v>
      </c>
      <c r="J32" s="107" t="s">
        <v>319</v>
      </c>
      <c r="K32" s="100" t="s">
        <v>320</v>
      </c>
      <c r="L32" s="111" t="s">
        <v>321</v>
      </c>
      <c r="M32" s="100" t="s">
        <v>412</v>
      </c>
      <c r="N32" s="100" t="s">
        <v>404</v>
      </c>
      <c r="O32" s="100" t="s">
        <v>151</v>
      </c>
      <c r="P32" s="109" t="s">
        <v>424</v>
      </c>
      <c r="Q32" s="113" t="s">
        <v>325</v>
      </c>
      <c r="R32" s="113" t="s">
        <v>325</v>
      </c>
      <c r="S32" s="109" t="s">
        <v>355</v>
      </c>
      <c r="T32" s="109" t="s">
        <v>425</v>
      </c>
      <c r="U32" s="108" t="s">
        <v>328</v>
      </c>
      <c r="V32" s="108" t="s">
        <v>328</v>
      </c>
      <c r="W32" s="108" t="s">
        <v>195</v>
      </c>
      <c r="X32" s="108" t="s">
        <v>195</v>
      </c>
      <c r="Y32" s="108" t="s">
        <v>195</v>
      </c>
      <c r="Z32" s="108" t="s">
        <v>195</v>
      </c>
      <c r="AA32" s="108" t="s">
        <v>195</v>
      </c>
      <c r="AB32" s="108" t="s">
        <v>328</v>
      </c>
      <c r="AC32" s="114" t="s">
        <v>195</v>
      </c>
      <c r="AD32" s="142" t="s">
        <v>89</v>
      </c>
      <c r="AE32" s="110" t="s">
        <v>134</v>
      </c>
      <c r="AF32" s="112" t="str">
        <f>AR32</f>
        <v>ALTO</v>
      </c>
      <c r="AG32" s="77" t="s">
        <v>101</v>
      </c>
      <c r="AH32" s="136" t="str">
        <f t="shared" ref="AH32:AH42" si="23">_xlfn.IFNA((AS32),"")</f>
        <v>BAJO</v>
      </c>
      <c r="AI32" s="78" t="s">
        <v>113</v>
      </c>
      <c r="AJ32" s="77" t="s">
        <v>122</v>
      </c>
      <c r="AK32" s="136" t="str">
        <f t="shared" si="15"/>
        <v>MEDIO</v>
      </c>
      <c r="AL32" s="80" t="str">
        <f>VLOOKUP($AD32,[3]Tipologías!$B$3:$G$17,2,FALSE)</f>
        <v>BAJO</v>
      </c>
      <c r="AM32" s="80">
        <f t="shared" si="2"/>
        <v>1</v>
      </c>
      <c r="AN32" s="80" t="str">
        <f>VLOOKUP($AE32,[3]Tipologías!$A$21:$C$24,3,FALSE)</f>
        <v>ALTO</v>
      </c>
      <c r="AO32" s="80">
        <f t="shared" si="3"/>
        <v>3</v>
      </c>
      <c r="AP32" s="80">
        <f>VLOOKUP($AI32,[3]Tipologías!$A$38:$B$42,2,FALSE)</f>
        <v>1</v>
      </c>
      <c r="AQ32" s="80">
        <f>VLOOKUP($AJ32,[3]Tipologías!$A$46:$B$53,2,FALSE)</f>
        <v>1</v>
      </c>
      <c r="AR32" s="80" t="str">
        <f t="shared" si="16"/>
        <v>ALTO</v>
      </c>
      <c r="AS32" s="80" t="str">
        <f>VLOOKUP($AG32,[3]Tipologías!$A$29:$C$33,3,FALSE)</f>
        <v>BAJO</v>
      </c>
      <c r="AT32" s="80" t="str">
        <f t="shared" si="17"/>
        <v>MEDIO</v>
      </c>
      <c r="AU32" s="80" t="str">
        <f t="shared" si="18"/>
        <v>MEDIO</v>
      </c>
      <c r="AV32" s="80" t="str">
        <f>_xlfn.IFNA(VLOOKUP(AD32,[3]Tipologías!$B$3:$G$17,4,0),"")</f>
        <v>INFORMACIÓN PÚBLICA</v>
      </c>
      <c r="AW32" s="80" t="str">
        <f t="shared" si="19"/>
        <v>IPB</v>
      </c>
      <c r="AX32" s="80" t="str">
        <f>_xlfn.IFNA(VLOOKUP(AD32,[3]Tipologías!$B$3:$G$17,3,0),"")</f>
        <v>LEY 1712 DE 2014 LEY DE TRANSPARENCIA Y DERECHO DE ACCESO A LA INFORMACIÓN. ARTÍCULO 6 DEFINICIONES LITERAL B.</v>
      </c>
      <c r="AY32" s="80" t="str">
        <f>_xlfn.IFNA(VLOOKUP(AD32,[3]Tipologías!$B$3:$G$17,5,0),"")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2" s="80" t="str">
        <f>_xlfn.IFNA(VLOOKUP(AD32,[3]Tipologías!$B$3:$G$17,6,0),"")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2" s="148" t="s">
        <v>197</v>
      </c>
      <c r="BB32" s="166">
        <v>45077</v>
      </c>
      <c r="BC32" s="148" t="s">
        <v>201</v>
      </c>
      <c r="BD32" s="146" t="s">
        <v>408</v>
      </c>
      <c r="BE32" s="146" t="s">
        <v>409</v>
      </c>
      <c r="BF32" s="45"/>
      <c r="BG32" s="45"/>
      <c r="BH32" s="45"/>
      <c r="BI32" s="45"/>
      <c r="BJ32" s="45"/>
      <c r="BK32" s="45"/>
      <c r="BL32" s="45"/>
      <c r="BM32" s="45"/>
      <c r="BN32" s="45"/>
      <c r="BO32" s="45"/>
      <c r="BP32" s="45"/>
      <c r="BQ32" s="45"/>
      <c r="BR32" s="45"/>
      <c r="BS32" s="45"/>
      <c r="BT32" s="45"/>
      <c r="BU32" s="45"/>
      <c r="BV32" s="45"/>
      <c r="BW32" s="45"/>
      <c r="BX32" s="45"/>
    </row>
    <row r="33" spans="1:76" s="67" customFormat="1" ht="207.75" customHeight="1" x14ac:dyDescent="0.2">
      <c r="A33" s="76">
        <v>24</v>
      </c>
      <c r="B33" s="74" t="s">
        <v>59</v>
      </c>
      <c r="C33" s="74" t="s">
        <v>302</v>
      </c>
      <c r="D33" s="100" t="s">
        <v>272</v>
      </c>
      <c r="E33" s="109" t="s">
        <v>426</v>
      </c>
      <c r="F33" s="109" t="s">
        <v>427</v>
      </c>
      <c r="G33" s="74" t="s">
        <v>205</v>
      </c>
      <c r="H33" s="100" t="s">
        <v>401</v>
      </c>
      <c r="I33" s="109" t="s">
        <v>410</v>
      </c>
      <c r="J33" s="107" t="s">
        <v>336</v>
      </c>
      <c r="K33" s="100" t="s">
        <v>320</v>
      </c>
      <c r="L33" s="111" t="s">
        <v>321</v>
      </c>
      <c r="M33" s="100" t="s">
        <v>195</v>
      </c>
      <c r="N33" s="100" t="s">
        <v>428</v>
      </c>
      <c r="O33" s="100" t="s">
        <v>151</v>
      </c>
      <c r="P33" s="109" t="s">
        <v>429</v>
      </c>
      <c r="Q33" s="113" t="s">
        <v>325</v>
      </c>
      <c r="R33" s="113" t="s">
        <v>325</v>
      </c>
      <c r="S33" s="109" t="s">
        <v>195</v>
      </c>
      <c r="T33" s="109" t="s">
        <v>195</v>
      </c>
      <c r="U33" s="108" t="s">
        <v>329</v>
      </c>
      <c r="V33" s="108" t="s">
        <v>195</v>
      </c>
      <c r="W33" s="108" t="s">
        <v>195</v>
      </c>
      <c r="X33" s="108" t="s">
        <v>195</v>
      </c>
      <c r="Y33" s="108" t="s">
        <v>195</v>
      </c>
      <c r="Z33" s="108" t="s">
        <v>195</v>
      </c>
      <c r="AA33" s="108" t="s">
        <v>195</v>
      </c>
      <c r="AB33" s="108" t="s">
        <v>328</v>
      </c>
      <c r="AC33" s="114" t="s">
        <v>195</v>
      </c>
      <c r="AD33" s="142" t="s">
        <v>89</v>
      </c>
      <c r="AE33" s="110" t="s">
        <v>130</v>
      </c>
      <c r="AF33" s="112" t="str">
        <f>AR33</f>
        <v>BAJO</v>
      </c>
      <c r="AG33" s="77" t="s">
        <v>104</v>
      </c>
      <c r="AH33" s="136" t="str">
        <f t="shared" si="23"/>
        <v>ALTO</v>
      </c>
      <c r="AI33" s="78" t="s">
        <v>114</v>
      </c>
      <c r="AJ33" s="77" t="s">
        <v>119</v>
      </c>
      <c r="AK33" s="136" t="str">
        <f t="shared" si="15"/>
        <v>ALTO</v>
      </c>
      <c r="AL33" s="80" t="str">
        <f>VLOOKUP($AD33,[3]Tipologías!$B$3:$G$17,2,FALSE)</f>
        <v>BAJO</v>
      </c>
      <c r="AM33" s="80">
        <f t="shared" si="2"/>
        <v>1</v>
      </c>
      <c r="AN33" s="80" t="str">
        <f>VLOOKUP($AE33,[3]Tipologías!$A$21:$C$24,3,FALSE)</f>
        <v>BAJO</v>
      </c>
      <c r="AO33" s="80">
        <f t="shared" si="3"/>
        <v>1</v>
      </c>
      <c r="AP33" s="80">
        <f>VLOOKUP($AI33,[3]Tipologías!$A$38:$B$42,2,FALSE)</f>
        <v>1.5</v>
      </c>
      <c r="AQ33" s="80">
        <f>VLOOKUP($AJ33,[3]Tipologías!$A$46:$B$53,2,FALSE)</f>
        <v>2</v>
      </c>
      <c r="AR33" s="80" t="str">
        <f t="shared" si="16"/>
        <v>BAJO</v>
      </c>
      <c r="AS33" s="80" t="str">
        <f>VLOOKUP($AG33,[3]Tipologías!$A$29:$C$33,3,FALSE)</f>
        <v>ALTO</v>
      </c>
      <c r="AT33" s="80" t="str">
        <f t="shared" si="17"/>
        <v>ALTO</v>
      </c>
      <c r="AU33" s="80" t="str">
        <f t="shared" si="18"/>
        <v>ALTO</v>
      </c>
      <c r="AV33" s="80" t="str">
        <f>_xlfn.IFNA(VLOOKUP(AD33,[3]Tipologías!$B$3:$G$17,4,0),"")</f>
        <v>INFORMACIÓN PÚBLICA</v>
      </c>
      <c r="AW33" s="80" t="str">
        <f t="shared" si="19"/>
        <v>IPB</v>
      </c>
      <c r="AX33" s="80" t="str">
        <f>_xlfn.IFNA(VLOOKUP(AD33,[3]Tipologías!$B$3:$G$17,3,0),"")</f>
        <v>LEY 1712 DE 2014 LEY DE TRANSPARENCIA Y DERECHO DE ACCESO A LA INFORMACIÓN. ARTÍCULO 6 DEFINICIONES LITERAL B.</v>
      </c>
      <c r="AY33" s="80" t="str">
        <f>_xlfn.IFNA(VLOOKUP(AD33,[3]Tipologías!$B$3:$G$17,5,0),"")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3" s="80" t="str">
        <f>_xlfn.IFNA(VLOOKUP(AD33,[3]Tipologías!$B$3:$G$17,6,0),"")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3" s="148" t="s">
        <v>195</v>
      </c>
      <c r="BB33" s="166">
        <v>45077</v>
      </c>
      <c r="BC33" s="148" t="s">
        <v>195</v>
      </c>
      <c r="BD33" s="146" t="s">
        <v>408</v>
      </c>
      <c r="BE33" s="146" t="s">
        <v>409</v>
      </c>
      <c r="BF33" s="45"/>
      <c r="BG33" s="45"/>
      <c r="BH33" s="45"/>
      <c r="BI33" s="45"/>
      <c r="BJ33" s="45"/>
      <c r="BK33" s="45"/>
      <c r="BL33" s="45"/>
      <c r="BM33" s="45"/>
      <c r="BN33" s="45"/>
      <c r="BO33" s="45"/>
      <c r="BP33" s="45"/>
      <c r="BQ33" s="45"/>
      <c r="BR33" s="45"/>
      <c r="BS33" s="45"/>
      <c r="BT33" s="45"/>
      <c r="BU33" s="45"/>
      <c r="BV33" s="45"/>
      <c r="BW33" s="45"/>
      <c r="BX33" s="45"/>
    </row>
    <row r="34" spans="1:76" s="68" customFormat="1" ht="207.75" customHeight="1" x14ac:dyDescent="0.2">
      <c r="A34" s="76">
        <v>25</v>
      </c>
      <c r="B34" s="74" t="s">
        <v>55</v>
      </c>
      <c r="C34" s="74" t="s">
        <v>299</v>
      </c>
      <c r="D34" s="100" t="s">
        <v>68</v>
      </c>
      <c r="E34" s="100" t="s">
        <v>430</v>
      </c>
      <c r="F34" s="75" t="s">
        <v>431</v>
      </c>
      <c r="G34" s="74" t="s">
        <v>205</v>
      </c>
      <c r="H34" s="75" t="s">
        <v>432</v>
      </c>
      <c r="I34" s="75" t="s">
        <v>68</v>
      </c>
      <c r="J34" s="107" t="s">
        <v>336</v>
      </c>
      <c r="K34" s="100" t="s">
        <v>320</v>
      </c>
      <c r="L34" s="75" t="s">
        <v>362</v>
      </c>
      <c r="M34" s="116" t="s">
        <v>195</v>
      </c>
      <c r="N34" s="75" t="s">
        <v>433</v>
      </c>
      <c r="O34" s="116" t="s">
        <v>151</v>
      </c>
      <c r="P34" s="100" t="s">
        <v>434</v>
      </c>
      <c r="Q34" s="76" t="s">
        <v>325</v>
      </c>
      <c r="R34" s="76" t="s">
        <v>325</v>
      </c>
      <c r="S34" s="100" t="s">
        <v>195</v>
      </c>
      <c r="T34" s="100" t="s">
        <v>195</v>
      </c>
      <c r="U34" s="77" t="s">
        <v>328</v>
      </c>
      <c r="V34" s="77" t="s">
        <v>328</v>
      </c>
      <c r="W34" s="77" t="s">
        <v>329</v>
      </c>
      <c r="X34" s="77" t="s">
        <v>329</v>
      </c>
      <c r="Y34" s="77" t="s">
        <v>329</v>
      </c>
      <c r="Z34" s="77" t="s">
        <v>329</v>
      </c>
      <c r="AA34" s="77" t="s">
        <v>195</v>
      </c>
      <c r="AB34" s="77" t="s">
        <v>195</v>
      </c>
      <c r="AC34" s="138" t="s">
        <v>195</v>
      </c>
      <c r="AD34" s="142" t="s">
        <v>89</v>
      </c>
      <c r="AE34" s="142" t="s">
        <v>130</v>
      </c>
      <c r="AF34" s="136" t="str">
        <f>AR34</f>
        <v>BAJO</v>
      </c>
      <c r="AG34" s="77" t="s">
        <v>104</v>
      </c>
      <c r="AH34" s="136" t="str">
        <f t="shared" si="23"/>
        <v>ALTO</v>
      </c>
      <c r="AI34" s="78" t="s">
        <v>115</v>
      </c>
      <c r="AJ34" s="77" t="s">
        <v>117</v>
      </c>
      <c r="AK34" s="136" t="str">
        <f>_xlfn.IFNA((AT34),"")</f>
        <v>ALTO</v>
      </c>
      <c r="AL34" s="80" t="str">
        <f>VLOOKUP($AD34,[4]Tipologías!$B$3:$G$17,2,FALSE)</f>
        <v>BAJO</v>
      </c>
      <c r="AM34" s="80">
        <f t="shared" si="2"/>
        <v>1</v>
      </c>
      <c r="AN34" s="80" t="str">
        <f>VLOOKUP($AE34,[4]Tipologías!$A$21:$C$24,3,FALSE)</f>
        <v>BAJO</v>
      </c>
      <c r="AO34" s="80">
        <f t="shared" si="3"/>
        <v>1</v>
      </c>
      <c r="AP34" s="80">
        <f>VLOOKUP($AI34,[4]Tipologías!$A$38:$B$42,2,FALSE)</f>
        <v>2</v>
      </c>
      <c r="AQ34" s="80">
        <f>VLOOKUP($AJ34,[4]Tipologías!$A$46:$B$53,2,FALSE)</f>
        <v>2.5</v>
      </c>
      <c r="AR34" s="80" t="str">
        <f>IF(MAX(AM34,AO34)=3,"ALTO",IF(MAX(AM34,AO34)=2,"MEDIO",IF(MAX(AM34,AO34)=1,"BAJO","  ")))</f>
        <v>BAJO</v>
      </c>
      <c r="AS34" s="80" t="str">
        <f>VLOOKUP($AG34,[4]Tipologías!$A$29:$C$33,3,FALSE)</f>
        <v>ALTO</v>
      </c>
      <c r="AT34" s="80" t="str">
        <f>IF(SUM($AP34,$AQ34)&gt;=3,"ALTO",IF(SUM($AP34,$AQ34)&lt;2,"BAJO","MEDIO"))</f>
        <v>ALTO</v>
      </c>
      <c r="AU34" s="80" t="str">
        <f>_xlfn.IFNA(IF(AND(AR34="BAJO",AS34="BAJO",AT34="BAJO"),"BAJO",IF(AND(AR34="ALTO",AS34="ALTO",AT34="ALTO"),"ALTO",IF(COUNTIF(AR34:AT34,"ALTO")=2,"ALTO","MEDIO")))," ")</f>
        <v>ALTO</v>
      </c>
      <c r="AV34" s="80" t="str">
        <f>_xlfn.IFNA(VLOOKUP(AD34,[4]Tipologías!$B$3:$G$17,4,0),"")</f>
        <v>INFORMACIÓN PÚBLICA</v>
      </c>
      <c r="AW34" s="80" t="str">
        <f>IF(AV34="INFORMACIÓN PÚBLICA","IPB",IF(AV34="INFORMACIÓN PÚBLICA CLASIFICADA","IPC",IF(AV34="INFORMACIÓN PÚBLICA RESERVADA","IPR",IF(AV34="",""))))</f>
        <v>IPB</v>
      </c>
      <c r="AX34" s="80" t="s">
        <v>195</v>
      </c>
      <c r="AY34" s="80" t="s">
        <v>195</v>
      </c>
      <c r="AZ34" s="80" t="s">
        <v>195</v>
      </c>
      <c r="BA34" s="148" t="s">
        <v>195</v>
      </c>
      <c r="BB34" s="166">
        <v>45077</v>
      </c>
      <c r="BC34" s="148" t="s">
        <v>195</v>
      </c>
      <c r="BD34" s="146" t="s">
        <v>435</v>
      </c>
      <c r="BE34" s="146" t="s">
        <v>436</v>
      </c>
      <c r="BF34" s="45"/>
      <c r="BG34" s="45"/>
      <c r="BH34" s="45"/>
      <c r="BI34" s="45"/>
      <c r="BJ34" s="45"/>
      <c r="BK34" s="45"/>
      <c r="BL34" s="45"/>
      <c r="BM34" s="45"/>
      <c r="BN34" s="45"/>
      <c r="BO34" s="45"/>
      <c r="BP34" s="45"/>
      <c r="BQ34" s="45"/>
      <c r="BR34" s="45"/>
      <c r="BS34" s="45"/>
      <c r="BT34" s="45"/>
      <c r="BU34" s="45"/>
      <c r="BV34" s="45"/>
      <c r="BW34" s="45"/>
      <c r="BX34" s="45"/>
    </row>
    <row r="35" spans="1:76" s="67" customFormat="1" ht="207.75" customHeight="1" x14ac:dyDescent="0.2">
      <c r="A35" s="76">
        <v>26</v>
      </c>
      <c r="B35" s="74" t="s">
        <v>55</v>
      </c>
      <c r="C35" s="74" t="s">
        <v>299</v>
      </c>
      <c r="D35" s="100" t="s">
        <v>68</v>
      </c>
      <c r="E35" s="100" t="s">
        <v>437</v>
      </c>
      <c r="F35" s="75" t="s">
        <v>438</v>
      </c>
      <c r="G35" s="74" t="s">
        <v>205</v>
      </c>
      <c r="H35" s="75" t="s">
        <v>432</v>
      </c>
      <c r="I35" s="75" t="s">
        <v>68</v>
      </c>
      <c r="J35" s="107" t="s">
        <v>336</v>
      </c>
      <c r="K35" s="100" t="s">
        <v>320</v>
      </c>
      <c r="L35" s="75" t="s">
        <v>321</v>
      </c>
      <c r="M35" s="116" t="s">
        <v>195</v>
      </c>
      <c r="N35" s="75" t="s">
        <v>433</v>
      </c>
      <c r="O35" s="116" t="s">
        <v>151</v>
      </c>
      <c r="P35" s="100" t="s">
        <v>439</v>
      </c>
      <c r="Q35" s="76" t="s">
        <v>325</v>
      </c>
      <c r="R35" s="76" t="s">
        <v>195</v>
      </c>
      <c r="S35" s="100" t="s">
        <v>195</v>
      </c>
      <c r="T35" s="100" t="s">
        <v>195</v>
      </c>
      <c r="U35" s="77" t="s">
        <v>328</v>
      </c>
      <c r="V35" s="77" t="s">
        <v>328</v>
      </c>
      <c r="W35" s="77" t="s">
        <v>329</v>
      </c>
      <c r="X35" s="77" t="s">
        <v>329</v>
      </c>
      <c r="Y35" s="77" t="s">
        <v>329</v>
      </c>
      <c r="Z35" s="77" t="s">
        <v>329</v>
      </c>
      <c r="AA35" s="77" t="s">
        <v>195</v>
      </c>
      <c r="AB35" s="77" t="s">
        <v>195</v>
      </c>
      <c r="AC35" s="138" t="s">
        <v>195</v>
      </c>
      <c r="AD35" s="142" t="s">
        <v>208</v>
      </c>
      <c r="AE35" s="142" t="s">
        <v>132</v>
      </c>
      <c r="AF35" s="136" t="s">
        <v>92</v>
      </c>
      <c r="AG35" s="77" t="s">
        <v>102</v>
      </c>
      <c r="AH35" s="136" t="str">
        <f t="shared" si="23"/>
        <v>MEDIO</v>
      </c>
      <c r="AI35" s="78" t="s">
        <v>111</v>
      </c>
      <c r="AJ35" s="77" t="s">
        <v>120</v>
      </c>
      <c r="AK35" s="136" t="s">
        <v>103</v>
      </c>
      <c r="AL35" s="80" t="str">
        <f>VLOOKUP($AD35,[4]Tipologías!$B$3:$G$17,2,FALSE)</f>
        <v>ALTO</v>
      </c>
      <c r="AM35" s="80">
        <f t="shared" si="2"/>
        <v>3</v>
      </c>
      <c r="AN35" s="80" t="str">
        <f>VLOOKUP($AE35,[4]Tipologías!$A$21:$C$24,3,FALSE)</f>
        <v>MEDIO</v>
      </c>
      <c r="AO35" s="80">
        <f t="shared" si="3"/>
        <v>2</v>
      </c>
      <c r="AP35" s="80">
        <f>VLOOKUP($AI35,[4]Tipologías!$A$38:$B$42,2,FALSE)</f>
        <v>0.5</v>
      </c>
      <c r="AQ35" s="80">
        <f>VLOOKUP($AJ35,[4]Tipologías!$A$46:$B$53,2,FALSE)</f>
        <v>1.5</v>
      </c>
      <c r="AR35" s="80" t="str">
        <f>IF(MAX(AM35,AO35)=3,"ALTO",IF(MAX(AM35,AO35)=2,"MEDIO",IF(MAX(AM35,AO35)=1,"BAJO","  ")))</f>
        <v>ALTO</v>
      </c>
      <c r="AS35" s="80" t="str">
        <f>VLOOKUP($AG35,[4]Tipologías!$A$29:$C$33,3,FALSE)</f>
        <v>MEDIO</v>
      </c>
      <c r="AT35" s="80" t="str">
        <f>IF(SUM($AP35,$AQ35)&gt;=3,"ALTO",IF(SUM($AP35,$AQ35)&lt;2,"BAJO","MEDIO"))</f>
        <v>MEDIO</v>
      </c>
      <c r="AU35" s="80" t="str">
        <f>_xlfn.IFNA(IF(AND(AR35="BAJO",AS35="BAJO",AT35="BAJO"),"BAJO",IF(AND(AR35="ALTO",AS35="ALTO",AT35="ALTO"),"ALTO",IF(COUNTIF(AR35:AT35,"ALTO")=2,"ALTO","MEDIO")))," ")</f>
        <v>MEDIO</v>
      </c>
      <c r="AV35" s="80" t="str">
        <f>_xlfn.IFNA(VLOOKUP(AD35,[4]Tipologías!$B$3:$G$17,4,0),"")</f>
        <v>INFORMACIÓN PÚBLICA CLASIFICADA</v>
      </c>
      <c r="AW35" s="80" t="str">
        <f>IF(AV35="INFORMACIÓN PÚBLICA","IPB",IF(AV35="INFORMACIÓN PÚBLICA CLASIFICADA","IPC",IF(AV35="INFORMACIÓN PÚBLICA RESERVADA","IPR",IF(AV35="",""))))</f>
        <v>IPC</v>
      </c>
      <c r="AX35" s="80" t="str">
        <f>_xlfn.IFNA(VLOOKUP(AD35,[4]Tipologías!$B$3:$G$17,3,0),"")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5" s="80" t="str">
        <f>_xlfn.IFNA(VLOOKUP(AD35,[4]Tipologías!$B$3:$G$17,5,0),"")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5" s="80" t="str">
        <f>_xlfn.IFNA(VLOOKUP(AD35,[4]Tipologías!$B$3:$G$17,6,0),"")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5" s="148" t="s">
        <v>197</v>
      </c>
      <c r="BB35" s="166">
        <v>45077</v>
      </c>
      <c r="BC35" s="148" t="s">
        <v>201</v>
      </c>
      <c r="BD35" s="146" t="s">
        <v>435</v>
      </c>
      <c r="BE35" s="146" t="s">
        <v>436</v>
      </c>
      <c r="BF35" s="45"/>
      <c r="BG35" s="45"/>
      <c r="BH35" s="45"/>
      <c r="BI35" s="45"/>
      <c r="BJ35" s="45"/>
      <c r="BK35" s="45"/>
      <c r="BL35" s="45"/>
      <c r="BM35" s="45"/>
      <c r="BN35" s="45"/>
      <c r="BO35" s="45"/>
      <c r="BP35" s="45"/>
      <c r="BQ35" s="45"/>
      <c r="BR35" s="45"/>
      <c r="BS35" s="45"/>
      <c r="BT35" s="45"/>
      <c r="BU35" s="45"/>
      <c r="BV35" s="45"/>
      <c r="BW35" s="45"/>
      <c r="BX35" s="45"/>
    </row>
    <row r="36" spans="1:76" s="68" customFormat="1" ht="207.75" customHeight="1" x14ac:dyDescent="0.2">
      <c r="A36" s="76">
        <v>27</v>
      </c>
      <c r="B36" s="74" t="s">
        <v>55</v>
      </c>
      <c r="C36" s="74" t="s">
        <v>299</v>
      </c>
      <c r="D36" s="100" t="s">
        <v>68</v>
      </c>
      <c r="E36" s="100" t="s">
        <v>440</v>
      </c>
      <c r="F36" s="75" t="s">
        <v>441</v>
      </c>
      <c r="G36" s="74" t="s">
        <v>205</v>
      </c>
      <c r="H36" s="75" t="s">
        <v>432</v>
      </c>
      <c r="I36" s="75" t="s">
        <v>68</v>
      </c>
      <c r="J36" s="107" t="s">
        <v>336</v>
      </c>
      <c r="K36" s="100" t="s">
        <v>320</v>
      </c>
      <c r="L36" s="75" t="s">
        <v>321</v>
      </c>
      <c r="M36" s="116" t="s">
        <v>195</v>
      </c>
      <c r="N36" s="75" t="s">
        <v>442</v>
      </c>
      <c r="O36" s="116" t="s">
        <v>151</v>
      </c>
      <c r="P36" s="100" t="s">
        <v>443</v>
      </c>
      <c r="Q36" s="76" t="s">
        <v>325</v>
      </c>
      <c r="R36" s="76" t="s">
        <v>325</v>
      </c>
      <c r="S36" s="100" t="s">
        <v>195</v>
      </c>
      <c r="T36" s="100" t="s">
        <v>195</v>
      </c>
      <c r="U36" s="77" t="s">
        <v>328</v>
      </c>
      <c r="V36" s="77" t="s">
        <v>329</v>
      </c>
      <c r="W36" s="77" t="s">
        <v>328</v>
      </c>
      <c r="X36" s="77" t="s">
        <v>195</v>
      </c>
      <c r="Y36" s="77" t="s">
        <v>195</v>
      </c>
      <c r="Z36" s="77" t="s">
        <v>329</v>
      </c>
      <c r="AA36" s="77" t="s">
        <v>328</v>
      </c>
      <c r="AB36" s="77" t="s">
        <v>195</v>
      </c>
      <c r="AC36" s="138" t="s">
        <v>195</v>
      </c>
      <c r="AD36" s="142" t="s">
        <v>89</v>
      </c>
      <c r="AE36" s="142" t="s">
        <v>132</v>
      </c>
      <c r="AF36" s="136" t="s">
        <v>103</v>
      </c>
      <c r="AG36" s="77" t="s">
        <v>102</v>
      </c>
      <c r="AH36" s="136" t="str">
        <f t="shared" si="23"/>
        <v>MEDIO</v>
      </c>
      <c r="AI36" s="78" t="s">
        <v>111</v>
      </c>
      <c r="AJ36" s="77" t="s">
        <v>119</v>
      </c>
      <c r="AK36" s="136" t="s">
        <v>103</v>
      </c>
      <c r="AL36" s="80" t="str">
        <f>VLOOKUP($AD36,[4]Tipologías!$B$3:$G$17,2,FALSE)</f>
        <v>BAJO</v>
      </c>
      <c r="AM36" s="80">
        <f t="shared" si="2"/>
        <v>1</v>
      </c>
      <c r="AN36" s="80" t="str">
        <f>VLOOKUP($AE36,[4]Tipologías!$A$21:$C$24,3,FALSE)</f>
        <v>MEDIO</v>
      </c>
      <c r="AO36" s="80">
        <f t="shared" si="3"/>
        <v>2</v>
      </c>
      <c r="AP36" s="80">
        <f>VLOOKUP($AI36,[4]Tipologías!$A$38:$B$42,2,FALSE)</f>
        <v>0.5</v>
      </c>
      <c r="AQ36" s="80">
        <f>VLOOKUP($AJ36,[4]Tipologías!$A$46:$B$53,2,FALSE)</f>
        <v>2</v>
      </c>
      <c r="AR36" s="80" t="str">
        <f t="shared" ref="AR36:AR40" si="24">IF(MAX(AM36,AO36)=3,"ALTO",IF(MAX(AM36,AO36)=2,"MEDIO",IF(MAX(AM36,AO36)=1,"BAJO","  ")))</f>
        <v>MEDIO</v>
      </c>
      <c r="AS36" s="80" t="str">
        <f>VLOOKUP($AG36,[4]Tipologías!$A$29:$C$33,3,FALSE)</f>
        <v>MEDIO</v>
      </c>
      <c r="AT36" s="80" t="str">
        <f t="shared" ref="AT36:AT40" si="25">IF(SUM($AP36,$AQ36)&gt;=3,"ALTO",IF(SUM($AP36,$AQ36)&lt;2,"BAJO","MEDIO"))</f>
        <v>MEDIO</v>
      </c>
      <c r="AU36" s="80" t="str">
        <f t="shared" ref="AU36:AU40" si="26">_xlfn.IFNA(IF(AND(AR36="BAJO",AS36="BAJO",AT36="BAJO"),"BAJO",IF(AND(AR36="ALTO",AS36="ALTO",AT36="ALTO"),"ALTO",IF(COUNTIF(AR36:AT36,"ALTO")=2,"ALTO","MEDIO")))," ")</f>
        <v>MEDIO</v>
      </c>
      <c r="AV36" s="80" t="str">
        <f>_xlfn.IFNA(VLOOKUP(AD36,[4]Tipologías!$B$3:$G$17,4,0),"")</f>
        <v>INFORMACIÓN PÚBLICA</v>
      </c>
      <c r="AW36" s="80" t="str">
        <f t="shared" ref="AW36:AW40" si="27">IF(AV36="INFORMACIÓN PÚBLICA","IPB",IF(AV36="INFORMACIÓN PÚBLICA CLASIFICADA","IPC",IF(AV36="INFORMACIÓN PÚBLICA RESERVADA","IPR",IF(AV36="",""))))</f>
        <v>IPB</v>
      </c>
      <c r="AX36" s="80" t="str">
        <f>_xlfn.IFNA(VLOOKUP(AD36,[4]Tipologías!$B$3:$G$17,3,0),"")</f>
        <v>LEY 1712 DE 2014 LEY DE TRANSPARENCIA Y DERECHO DE ACCESO A LA INFORMACIÓN. ARTÍCULO 6 DEFINICIONES LITERAL B.</v>
      </c>
      <c r="AY36" s="80" t="str">
        <f>_xlfn.IFNA(VLOOKUP(AD36,[4]Tipologías!$B$3:$G$17,5,0),"")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6" s="80" t="str">
        <f>_xlfn.IFNA(VLOOKUP(AD36,[4]Tipologías!$B$3:$G$17,6,0),"")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6" s="148" t="s">
        <v>197</v>
      </c>
      <c r="BB36" s="166">
        <v>45077</v>
      </c>
      <c r="BC36" s="148" t="s">
        <v>201</v>
      </c>
      <c r="BD36" s="146" t="s">
        <v>444</v>
      </c>
      <c r="BE36" s="146" t="s">
        <v>436</v>
      </c>
      <c r="BF36" s="45"/>
      <c r="BG36" s="45"/>
      <c r="BH36" s="45"/>
      <c r="BI36" s="45"/>
      <c r="BJ36" s="45"/>
      <c r="BK36" s="45"/>
      <c r="BL36" s="45"/>
      <c r="BM36" s="45"/>
      <c r="BN36" s="45"/>
      <c r="BO36" s="45"/>
      <c r="BP36" s="45"/>
      <c r="BQ36" s="45"/>
      <c r="BR36" s="45"/>
      <c r="BS36" s="45"/>
      <c r="BT36" s="45"/>
      <c r="BU36" s="45"/>
      <c r="BV36" s="45"/>
      <c r="BW36" s="45"/>
      <c r="BX36" s="45"/>
    </row>
    <row r="37" spans="1:76" s="67" customFormat="1" ht="207.75" customHeight="1" x14ac:dyDescent="0.2">
      <c r="A37" s="76">
        <v>28</v>
      </c>
      <c r="B37" s="74" t="s">
        <v>55</v>
      </c>
      <c r="C37" s="74" t="s">
        <v>299</v>
      </c>
      <c r="D37" s="100" t="s">
        <v>68</v>
      </c>
      <c r="E37" s="100" t="s">
        <v>426</v>
      </c>
      <c r="F37" s="75" t="s">
        <v>445</v>
      </c>
      <c r="G37" s="74" t="s">
        <v>205</v>
      </c>
      <c r="H37" s="75" t="s">
        <v>446</v>
      </c>
      <c r="I37" s="75" t="s">
        <v>68</v>
      </c>
      <c r="J37" s="107" t="s">
        <v>336</v>
      </c>
      <c r="K37" s="100" t="s">
        <v>320</v>
      </c>
      <c r="L37" s="75" t="s">
        <v>321</v>
      </c>
      <c r="M37" s="116" t="s">
        <v>195</v>
      </c>
      <c r="N37" s="75" t="s">
        <v>447</v>
      </c>
      <c r="O37" s="116" t="s">
        <v>151</v>
      </c>
      <c r="P37" s="100" t="s">
        <v>443</v>
      </c>
      <c r="Q37" s="76" t="s">
        <v>325</v>
      </c>
      <c r="R37" s="76" t="s">
        <v>325</v>
      </c>
      <c r="S37" s="100" t="s">
        <v>195</v>
      </c>
      <c r="T37" s="100" t="s">
        <v>195</v>
      </c>
      <c r="U37" s="77" t="s">
        <v>195</v>
      </c>
      <c r="V37" s="77" t="s">
        <v>195</v>
      </c>
      <c r="W37" s="77" t="s">
        <v>195</v>
      </c>
      <c r="X37" s="77" t="s">
        <v>195</v>
      </c>
      <c r="Y37" s="77" t="s">
        <v>195</v>
      </c>
      <c r="Z37" s="77" t="s">
        <v>195</v>
      </c>
      <c r="AA37" s="77" t="s">
        <v>195</v>
      </c>
      <c r="AB37" s="77" t="s">
        <v>195</v>
      </c>
      <c r="AC37" s="138" t="s">
        <v>195</v>
      </c>
      <c r="AD37" s="142" t="s">
        <v>89</v>
      </c>
      <c r="AE37" s="142" t="s">
        <v>130</v>
      </c>
      <c r="AF37" s="136" t="s">
        <v>90</v>
      </c>
      <c r="AG37" s="77" t="s">
        <v>104</v>
      </c>
      <c r="AH37" s="136" t="str">
        <f t="shared" si="23"/>
        <v>ALTO</v>
      </c>
      <c r="AI37" s="78" t="s">
        <v>114</v>
      </c>
      <c r="AJ37" s="77" t="s">
        <v>119</v>
      </c>
      <c r="AK37" s="136" t="s">
        <v>92</v>
      </c>
      <c r="AL37" s="80" t="str">
        <f>VLOOKUP($AD37,[4]Tipologías!$B$3:$G$17,2,FALSE)</f>
        <v>BAJO</v>
      </c>
      <c r="AM37" s="80">
        <f t="shared" si="2"/>
        <v>1</v>
      </c>
      <c r="AN37" s="80" t="str">
        <f>VLOOKUP($AE37,[4]Tipologías!$A$21:$C$24,3,FALSE)</f>
        <v>BAJO</v>
      </c>
      <c r="AO37" s="80">
        <f t="shared" si="3"/>
        <v>1</v>
      </c>
      <c r="AP37" s="80">
        <f>VLOOKUP($AI37,[4]Tipologías!$A$38:$B$42,2,FALSE)</f>
        <v>1.5</v>
      </c>
      <c r="AQ37" s="80">
        <f>VLOOKUP($AJ37,[4]Tipologías!$A$46:$B$53,2,FALSE)</f>
        <v>2</v>
      </c>
      <c r="AR37" s="80" t="str">
        <f t="shared" si="24"/>
        <v>BAJO</v>
      </c>
      <c r="AS37" s="80" t="str">
        <f>VLOOKUP($AG37,[4]Tipologías!$A$29:$C$33,3,FALSE)</f>
        <v>ALTO</v>
      </c>
      <c r="AT37" s="80" t="str">
        <f t="shared" si="25"/>
        <v>ALTO</v>
      </c>
      <c r="AU37" s="80" t="str">
        <f t="shared" si="26"/>
        <v>ALTO</v>
      </c>
      <c r="AV37" s="80" t="str">
        <f>_xlfn.IFNA(VLOOKUP(AD37,[4]Tipologías!$B$3:$G$17,4,0),"")</f>
        <v>INFORMACIÓN PÚBLICA</v>
      </c>
      <c r="AW37" s="80" t="str">
        <f t="shared" si="27"/>
        <v>IPB</v>
      </c>
      <c r="AX37" s="80" t="str">
        <f>_xlfn.IFNA(VLOOKUP(AD37,[4]Tipologías!$B$3:$G$17,3,0),"")</f>
        <v>LEY 1712 DE 2014 LEY DE TRANSPARENCIA Y DERECHO DE ACCESO A LA INFORMACIÓN. ARTÍCULO 6 DEFINICIONES LITERAL B.</v>
      </c>
      <c r="AY37" s="80" t="str">
        <f>_xlfn.IFNA(VLOOKUP(AD37,[4]Tipologías!$B$3:$G$17,5,0),"")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7" s="80" t="str">
        <f>_xlfn.IFNA(VLOOKUP(AD37,[4]Tipologías!$B$3:$G$17,6,0),"")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7" s="148" t="s">
        <v>195</v>
      </c>
      <c r="BB37" s="166">
        <v>45077</v>
      </c>
      <c r="BC37" s="148" t="s">
        <v>195</v>
      </c>
      <c r="BD37" s="146" t="s">
        <v>448</v>
      </c>
      <c r="BE37" s="146" t="s">
        <v>436</v>
      </c>
      <c r="BF37" s="45"/>
      <c r="BG37" s="45"/>
      <c r="BH37" s="45"/>
      <c r="BI37" s="45"/>
      <c r="BJ37" s="45"/>
      <c r="BK37" s="45"/>
      <c r="BL37" s="45"/>
      <c r="BM37" s="45"/>
      <c r="BN37" s="45"/>
      <c r="BO37" s="45"/>
      <c r="BP37" s="45"/>
      <c r="BQ37" s="45"/>
      <c r="BR37" s="45"/>
      <c r="BS37" s="45"/>
      <c r="BT37" s="45"/>
      <c r="BU37" s="45"/>
      <c r="BV37" s="45"/>
      <c r="BW37" s="45"/>
      <c r="BX37" s="45"/>
    </row>
    <row r="38" spans="1:76" s="67" customFormat="1" ht="207.75" customHeight="1" x14ac:dyDescent="0.2">
      <c r="A38" s="76">
        <v>29</v>
      </c>
      <c r="B38" s="74" t="s">
        <v>55</v>
      </c>
      <c r="C38" s="74" t="s">
        <v>299</v>
      </c>
      <c r="D38" s="100" t="s">
        <v>68</v>
      </c>
      <c r="E38" s="100" t="s">
        <v>430</v>
      </c>
      <c r="F38" s="75" t="s">
        <v>449</v>
      </c>
      <c r="G38" s="74" t="s">
        <v>199</v>
      </c>
      <c r="H38" s="75" t="s">
        <v>432</v>
      </c>
      <c r="I38" s="75" t="s">
        <v>68</v>
      </c>
      <c r="J38" s="107" t="s">
        <v>336</v>
      </c>
      <c r="K38" s="100" t="s">
        <v>320</v>
      </c>
      <c r="L38" s="75" t="s">
        <v>362</v>
      </c>
      <c r="M38" s="116" t="s">
        <v>195</v>
      </c>
      <c r="N38" s="75" t="s">
        <v>433</v>
      </c>
      <c r="O38" s="116" t="s">
        <v>151</v>
      </c>
      <c r="P38" s="100" t="s">
        <v>439</v>
      </c>
      <c r="Q38" s="76" t="s">
        <v>325</v>
      </c>
      <c r="R38" s="76" t="s">
        <v>325</v>
      </c>
      <c r="S38" s="100" t="s">
        <v>195</v>
      </c>
      <c r="T38" s="100" t="s">
        <v>195</v>
      </c>
      <c r="U38" s="77" t="s">
        <v>328</v>
      </c>
      <c r="V38" s="77" t="s">
        <v>329</v>
      </c>
      <c r="W38" s="77" t="s">
        <v>329</v>
      </c>
      <c r="X38" s="77" t="s">
        <v>329</v>
      </c>
      <c r="Y38" s="77" t="s">
        <v>329</v>
      </c>
      <c r="Z38" s="77" t="s">
        <v>195</v>
      </c>
      <c r="AA38" s="77" t="s">
        <v>328</v>
      </c>
      <c r="AB38" s="77" t="s">
        <v>328</v>
      </c>
      <c r="AC38" s="138" t="s">
        <v>195</v>
      </c>
      <c r="AD38" s="142" t="s">
        <v>89</v>
      </c>
      <c r="AE38" s="142" t="s">
        <v>130</v>
      </c>
      <c r="AF38" s="136" t="s">
        <v>90</v>
      </c>
      <c r="AG38" s="77" t="s">
        <v>104</v>
      </c>
      <c r="AH38" s="136" t="str">
        <f t="shared" si="23"/>
        <v>ALTO</v>
      </c>
      <c r="AI38" s="78" t="s">
        <v>115</v>
      </c>
      <c r="AJ38" s="77" t="s">
        <v>117</v>
      </c>
      <c r="AK38" s="136" t="s">
        <v>92</v>
      </c>
      <c r="AL38" s="80" t="str">
        <f>VLOOKUP($AD38,[4]Tipologías!$B$3:$G$17,2,FALSE)</f>
        <v>BAJO</v>
      </c>
      <c r="AM38" s="80">
        <f t="shared" si="2"/>
        <v>1</v>
      </c>
      <c r="AN38" s="80" t="str">
        <f>VLOOKUP($AE38,[4]Tipologías!$A$21:$C$24,3,FALSE)</f>
        <v>BAJO</v>
      </c>
      <c r="AO38" s="80">
        <f t="shared" si="3"/>
        <v>1</v>
      </c>
      <c r="AP38" s="80">
        <f>VLOOKUP($AI38,[4]Tipologías!$A$38:$B$42,2,FALSE)</f>
        <v>2</v>
      </c>
      <c r="AQ38" s="80">
        <f>VLOOKUP($AJ38,[4]Tipologías!$A$46:$B$53,2,FALSE)</f>
        <v>2.5</v>
      </c>
      <c r="AR38" s="80" t="str">
        <f t="shared" si="24"/>
        <v>BAJO</v>
      </c>
      <c r="AS38" s="80" t="str">
        <f>VLOOKUP($AG38,[4]Tipologías!$A$29:$C$33,3,FALSE)</f>
        <v>ALTO</v>
      </c>
      <c r="AT38" s="80" t="str">
        <f t="shared" si="25"/>
        <v>ALTO</v>
      </c>
      <c r="AU38" s="80" t="str">
        <f t="shared" si="26"/>
        <v>ALTO</v>
      </c>
      <c r="AV38" s="80" t="str">
        <f>_xlfn.IFNA(VLOOKUP(AD38,[4]Tipologías!$B$3:$G$17,4,0),"")</f>
        <v>INFORMACIÓN PÚBLICA</v>
      </c>
      <c r="AW38" s="80" t="str">
        <f t="shared" si="27"/>
        <v>IPB</v>
      </c>
      <c r="AX38" s="80" t="str">
        <f>_xlfn.IFNA(VLOOKUP(AD38,[4]Tipologías!$B$3:$G$17,3,0),"")</f>
        <v>LEY 1712 DE 2014 LEY DE TRANSPARENCIA Y DERECHO DE ACCESO A LA INFORMACIÓN. ARTÍCULO 6 DEFINICIONES LITERAL B.</v>
      </c>
      <c r="AY38" s="80" t="str">
        <f>_xlfn.IFNA(VLOOKUP(AD38,[4]Tipologías!$B$3:$G$17,5,0),"")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38" s="80" t="str">
        <f>_xlfn.IFNA(VLOOKUP(AD38,[4]Tipologías!$B$3:$G$17,6,0),"")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38" s="148" t="s">
        <v>195</v>
      </c>
      <c r="BB38" s="166">
        <v>45077</v>
      </c>
      <c r="BC38" s="148" t="s">
        <v>195</v>
      </c>
      <c r="BD38" s="146" t="s">
        <v>435</v>
      </c>
      <c r="BE38" s="146" t="s">
        <v>436</v>
      </c>
      <c r="BF38" s="45"/>
      <c r="BG38" s="45"/>
      <c r="BH38" s="45"/>
      <c r="BI38" s="45"/>
      <c r="BJ38" s="45"/>
      <c r="BK38" s="45"/>
      <c r="BL38" s="45"/>
      <c r="BM38" s="45"/>
      <c r="BN38" s="45"/>
      <c r="BO38" s="45"/>
      <c r="BP38" s="45"/>
      <c r="BQ38" s="45"/>
      <c r="BR38" s="45"/>
      <c r="BS38" s="45"/>
      <c r="BT38" s="45"/>
      <c r="BU38" s="45"/>
      <c r="BV38" s="45"/>
      <c r="BW38" s="45"/>
      <c r="BX38" s="45"/>
    </row>
    <row r="39" spans="1:76" s="67" customFormat="1" ht="207.75" customHeight="1" x14ac:dyDescent="0.2">
      <c r="A39" s="76">
        <v>30</v>
      </c>
      <c r="B39" s="74" t="s">
        <v>55</v>
      </c>
      <c r="C39" s="74" t="s">
        <v>299</v>
      </c>
      <c r="D39" s="100" t="s">
        <v>68</v>
      </c>
      <c r="E39" s="100" t="s">
        <v>437</v>
      </c>
      <c r="F39" s="75" t="s">
        <v>438</v>
      </c>
      <c r="G39" s="74" t="s">
        <v>141</v>
      </c>
      <c r="H39" s="75" t="s">
        <v>432</v>
      </c>
      <c r="I39" s="75" t="s">
        <v>68</v>
      </c>
      <c r="J39" s="107" t="s">
        <v>336</v>
      </c>
      <c r="K39" s="100" t="s">
        <v>320</v>
      </c>
      <c r="L39" s="75" t="s">
        <v>321</v>
      </c>
      <c r="M39" s="116" t="s">
        <v>195</v>
      </c>
      <c r="N39" s="75" t="s">
        <v>433</v>
      </c>
      <c r="O39" s="116" t="s">
        <v>151</v>
      </c>
      <c r="P39" s="100" t="s">
        <v>439</v>
      </c>
      <c r="Q39" s="76" t="s">
        <v>325</v>
      </c>
      <c r="R39" s="76" t="s">
        <v>195</v>
      </c>
      <c r="S39" s="100" t="s">
        <v>195</v>
      </c>
      <c r="T39" s="100" t="s">
        <v>195</v>
      </c>
      <c r="U39" s="77" t="s">
        <v>328</v>
      </c>
      <c r="V39" s="77" t="s">
        <v>195</v>
      </c>
      <c r="W39" s="77" t="s">
        <v>329</v>
      </c>
      <c r="X39" s="77" t="s">
        <v>329</v>
      </c>
      <c r="Y39" s="77" t="s">
        <v>329</v>
      </c>
      <c r="Z39" s="77" t="s">
        <v>195</v>
      </c>
      <c r="AA39" s="77" t="s">
        <v>195</v>
      </c>
      <c r="AB39" s="77" t="s">
        <v>195</v>
      </c>
      <c r="AC39" s="138" t="s">
        <v>195</v>
      </c>
      <c r="AD39" s="142" t="s">
        <v>208</v>
      </c>
      <c r="AE39" s="142" t="s">
        <v>132</v>
      </c>
      <c r="AF39" s="136" t="s">
        <v>92</v>
      </c>
      <c r="AG39" s="77" t="s">
        <v>102</v>
      </c>
      <c r="AH39" s="136" t="str">
        <f t="shared" si="23"/>
        <v>MEDIO</v>
      </c>
      <c r="AI39" s="78" t="s">
        <v>111</v>
      </c>
      <c r="AJ39" s="77" t="s">
        <v>120</v>
      </c>
      <c r="AK39" s="136" t="s">
        <v>103</v>
      </c>
      <c r="AL39" s="80" t="str">
        <f>VLOOKUP($AD39,[4]Tipologías!$B$3:$G$17,2,FALSE)</f>
        <v>ALTO</v>
      </c>
      <c r="AM39" s="80">
        <f t="shared" si="2"/>
        <v>3</v>
      </c>
      <c r="AN39" s="80" t="str">
        <f>VLOOKUP($AE39,[4]Tipologías!$A$21:$C$24,3,FALSE)</f>
        <v>MEDIO</v>
      </c>
      <c r="AO39" s="80">
        <f t="shared" si="3"/>
        <v>2</v>
      </c>
      <c r="AP39" s="80">
        <f>VLOOKUP($AI39,[4]Tipologías!$A$38:$B$42,2,FALSE)</f>
        <v>0.5</v>
      </c>
      <c r="AQ39" s="80">
        <f>VLOOKUP($AJ39,[4]Tipologías!$A$46:$B$53,2,FALSE)</f>
        <v>1.5</v>
      </c>
      <c r="AR39" s="80" t="str">
        <f t="shared" si="24"/>
        <v>ALTO</v>
      </c>
      <c r="AS39" s="80" t="str">
        <f>VLOOKUP($AG39,[4]Tipologías!$A$29:$C$33,3,FALSE)</f>
        <v>MEDIO</v>
      </c>
      <c r="AT39" s="80" t="str">
        <f t="shared" si="25"/>
        <v>MEDIO</v>
      </c>
      <c r="AU39" s="80" t="str">
        <f t="shared" si="26"/>
        <v>MEDIO</v>
      </c>
      <c r="AV39" s="80" t="str">
        <f>_xlfn.IFNA(VLOOKUP(AD39,[4]Tipologías!$B$3:$G$17,4,0),"")</f>
        <v>INFORMACIÓN PÚBLICA CLASIFICADA</v>
      </c>
      <c r="AW39" s="80" t="str">
        <f t="shared" si="27"/>
        <v>IPC</v>
      </c>
      <c r="AX39" s="80" t="str">
        <f>_xlfn.IFNA(VLOOKUP(AD39,[4]Tipologías!$B$3:$G$17,3,0),"")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9" s="80" t="str">
        <f>_xlfn.IFNA(VLOOKUP(AD39,[4]Tipologías!$B$3:$G$17,5,0),"")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9" s="80" t="str">
        <f>_xlfn.IFNA(VLOOKUP(AD39,[4]Tipologías!$B$3:$G$17,6,0),"")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9" s="148" t="s">
        <v>197</v>
      </c>
      <c r="BB39" s="166">
        <v>45077</v>
      </c>
      <c r="BC39" s="148" t="s">
        <v>201</v>
      </c>
      <c r="BD39" s="146" t="s">
        <v>435</v>
      </c>
      <c r="BE39" s="146" t="s">
        <v>436</v>
      </c>
      <c r="BF39" s="45"/>
      <c r="BG39" s="45"/>
      <c r="BH39" s="45"/>
      <c r="BI39" s="45"/>
      <c r="BJ39" s="45"/>
      <c r="BK39" s="45"/>
      <c r="BL39" s="45"/>
      <c r="BM39" s="45"/>
      <c r="BN39" s="45"/>
      <c r="BO39" s="45"/>
      <c r="BP39" s="45"/>
      <c r="BQ39" s="45"/>
      <c r="BR39" s="45"/>
      <c r="BS39" s="45"/>
      <c r="BT39" s="45"/>
      <c r="BU39" s="45"/>
      <c r="BV39" s="45"/>
      <c r="BW39" s="45"/>
      <c r="BX39" s="45"/>
    </row>
    <row r="40" spans="1:76" s="68" customFormat="1" ht="207.75" customHeight="1" x14ac:dyDescent="0.2">
      <c r="A40" s="76">
        <v>31</v>
      </c>
      <c r="B40" s="74" t="s">
        <v>55</v>
      </c>
      <c r="C40" s="74" t="s">
        <v>299</v>
      </c>
      <c r="D40" s="100" t="s">
        <v>68</v>
      </c>
      <c r="E40" s="100" t="s">
        <v>450</v>
      </c>
      <c r="F40" s="75" t="s">
        <v>451</v>
      </c>
      <c r="G40" s="74" t="s">
        <v>140</v>
      </c>
      <c r="H40" s="75" t="s">
        <v>446</v>
      </c>
      <c r="I40" s="75" t="s">
        <v>68</v>
      </c>
      <c r="J40" s="107" t="s">
        <v>336</v>
      </c>
      <c r="K40" s="100" t="s">
        <v>320</v>
      </c>
      <c r="L40" s="75" t="s">
        <v>321</v>
      </c>
      <c r="M40" s="116" t="s">
        <v>195</v>
      </c>
      <c r="N40" s="75" t="s">
        <v>452</v>
      </c>
      <c r="O40" s="116" t="s">
        <v>144</v>
      </c>
      <c r="P40" s="100" t="s">
        <v>453</v>
      </c>
      <c r="Q40" s="76" t="s">
        <v>325</v>
      </c>
      <c r="R40" s="76" t="s">
        <v>195</v>
      </c>
      <c r="S40" s="100" t="s">
        <v>195</v>
      </c>
      <c r="T40" s="100" t="s">
        <v>195</v>
      </c>
      <c r="U40" s="77" t="s">
        <v>195</v>
      </c>
      <c r="V40" s="77" t="s">
        <v>329</v>
      </c>
      <c r="W40" s="77" t="s">
        <v>195</v>
      </c>
      <c r="X40" s="77" t="s">
        <v>195</v>
      </c>
      <c r="Y40" s="77" t="s">
        <v>195</v>
      </c>
      <c r="Z40" s="77" t="s">
        <v>195</v>
      </c>
      <c r="AA40" s="77" t="s">
        <v>328</v>
      </c>
      <c r="AB40" s="77" t="s">
        <v>328</v>
      </c>
      <c r="AC40" s="138" t="s">
        <v>195</v>
      </c>
      <c r="AD40" s="142" t="s">
        <v>208</v>
      </c>
      <c r="AE40" s="142" t="s">
        <v>132</v>
      </c>
      <c r="AF40" s="136" t="s">
        <v>92</v>
      </c>
      <c r="AG40" s="77" t="s">
        <v>104</v>
      </c>
      <c r="AH40" s="136" t="str">
        <f t="shared" si="23"/>
        <v>ALTO</v>
      </c>
      <c r="AI40" s="78" t="s">
        <v>111</v>
      </c>
      <c r="AJ40" s="77" t="s">
        <v>117</v>
      </c>
      <c r="AK40" s="136" t="s">
        <v>92</v>
      </c>
      <c r="AL40" s="80" t="str">
        <f>VLOOKUP($AD40,[4]Tipologías!$B$3:$G$17,2,FALSE)</f>
        <v>ALTO</v>
      </c>
      <c r="AM40" s="80">
        <f t="shared" si="2"/>
        <v>3</v>
      </c>
      <c r="AN40" s="80" t="str">
        <f>VLOOKUP($AE40,[4]Tipologías!$A$21:$C$24,3,FALSE)</f>
        <v>MEDIO</v>
      </c>
      <c r="AO40" s="80">
        <f t="shared" si="3"/>
        <v>2</v>
      </c>
      <c r="AP40" s="80">
        <f>VLOOKUP($AI40,[4]Tipologías!$A$38:$B$42,2,FALSE)</f>
        <v>0.5</v>
      </c>
      <c r="AQ40" s="80">
        <f>VLOOKUP($AJ40,[4]Tipologías!$A$46:$B$53,2,FALSE)</f>
        <v>2.5</v>
      </c>
      <c r="AR40" s="80" t="str">
        <f t="shared" si="24"/>
        <v>ALTO</v>
      </c>
      <c r="AS40" s="80" t="str">
        <f>VLOOKUP($AG40,[4]Tipologías!$A$29:$C$33,3,FALSE)</f>
        <v>ALTO</v>
      </c>
      <c r="AT40" s="80" t="str">
        <f t="shared" si="25"/>
        <v>ALTO</v>
      </c>
      <c r="AU40" s="80" t="str">
        <f t="shared" si="26"/>
        <v>ALTO</v>
      </c>
      <c r="AV40" s="80" t="str">
        <f>_xlfn.IFNA(VLOOKUP(AD40,[4]Tipologías!$B$3:$G$17,4,0),"")</f>
        <v>INFORMACIÓN PÚBLICA CLASIFICADA</v>
      </c>
      <c r="AW40" s="80" t="str">
        <f t="shared" si="27"/>
        <v>IPC</v>
      </c>
      <c r="AX40" s="80" t="str">
        <f>_xlfn.IFNA(VLOOKUP(AD40,[4]Tipologías!$B$3:$G$17,3,0),"")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0" s="80" t="str">
        <f>_xlfn.IFNA(VLOOKUP(AD40,[4]Tipologías!$B$3:$G$17,5,0),"")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0" s="80" t="str">
        <f>_xlfn.IFNA(VLOOKUP(AD40,[4]Tipologías!$B$3:$G$17,6,0),"")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0" s="148" t="s">
        <v>197</v>
      </c>
      <c r="BB40" s="166">
        <v>45077</v>
      </c>
      <c r="BC40" s="148" t="s">
        <v>201</v>
      </c>
      <c r="BD40" s="146" t="s">
        <v>454</v>
      </c>
      <c r="BE40" s="146" t="s">
        <v>436</v>
      </c>
      <c r="BF40" s="45"/>
      <c r="BG40" s="45"/>
      <c r="BH40" s="45"/>
      <c r="BI40" s="45"/>
      <c r="BJ40" s="45"/>
      <c r="BK40" s="45"/>
      <c r="BL40" s="45"/>
      <c r="BM40" s="45"/>
      <c r="BN40" s="45"/>
      <c r="BO40" s="45"/>
      <c r="BP40" s="45"/>
      <c r="BQ40" s="45"/>
      <c r="BR40" s="45"/>
      <c r="BS40" s="45"/>
      <c r="BT40" s="45"/>
      <c r="BU40" s="45"/>
      <c r="BV40" s="45"/>
      <c r="BW40" s="45"/>
      <c r="BX40" s="45"/>
    </row>
    <row r="41" spans="1:76" s="67" customFormat="1" ht="207.75" customHeight="1" x14ac:dyDescent="0.2">
      <c r="A41" s="76">
        <v>32</v>
      </c>
      <c r="B41" s="74" t="s">
        <v>65</v>
      </c>
      <c r="C41" s="74" t="s">
        <v>313</v>
      </c>
      <c r="D41" s="100" t="s">
        <v>61</v>
      </c>
      <c r="E41" s="100" t="s">
        <v>355</v>
      </c>
      <c r="F41" s="75" t="s">
        <v>455</v>
      </c>
      <c r="G41" s="74" t="s">
        <v>205</v>
      </c>
      <c r="H41" s="75" t="s">
        <v>61</v>
      </c>
      <c r="I41" s="75" t="s">
        <v>456</v>
      </c>
      <c r="J41" s="107" t="s">
        <v>319</v>
      </c>
      <c r="K41" s="100" t="s">
        <v>320</v>
      </c>
      <c r="L41" s="75" t="s">
        <v>321</v>
      </c>
      <c r="M41" s="75" t="s">
        <v>457</v>
      </c>
      <c r="N41" s="75" t="s">
        <v>458</v>
      </c>
      <c r="O41" s="116" t="s">
        <v>151</v>
      </c>
      <c r="P41" s="100" t="s">
        <v>459</v>
      </c>
      <c r="Q41" s="76" t="s">
        <v>325</v>
      </c>
      <c r="R41" s="76" t="s">
        <v>195</v>
      </c>
      <c r="S41" s="100" t="s">
        <v>355</v>
      </c>
      <c r="T41" s="100" t="s">
        <v>460</v>
      </c>
      <c r="U41" s="77" t="s">
        <v>328</v>
      </c>
      <c r="V41" s="77" t="s">
        <v>328</v>
      </c>
      <c r="W41" s="77" t="s">
        <v>195</v>
      </c>
      <c r="X41" s="77" t="s">
        <v>195</v>
      </c>
      <c r="Y41" s="77" t="s">
        <v>195</v>
      </c>
      <c r="Z41" s="77" t="s">
        <v>195</v>
      </c>
      <c r="AA41" s="77" t="s">
        <v>195</v>
      </c>
      <c r="AB41" s="77" t="s">
        <v>328</v>
      </c>
      <c r="AC41" s="138" t="s">
        <v>195</v>
      </c>
      <c r="AD41" s="142" t="s">
        <v>89</v>
      </c>
      <c r="AE41" s="142" t="s">
        <v>130</v>
      </c>
      <c r="AF41" s="136" t="str">
        <f>AR41</f>
        <v>BAJO</v>
      </c>
      <c r="AG41" s="77" t="s">
        <v>102</v>
      </c>
      <c r="AH41" s="136" t="str">
        <f t="shared" si="23"/>
        <v>MEDIO</v>
      </c>
      <c r="AI41" s="78" t="s">
        <v>113</v>
      </c>
      <c r="AJ41" s="77" t="s">
        <v>121</v>
      </c>
      <c r="AK41" s="136" t="str">
        <f>_xlfn.IFNA((AT41),"")</f>
        <v>MEDIO</v>
      </c>
      <c r="AL41" s="80" t="str">
        <f>VLOOKUP($AD41,[5]Tipologías!$B$3:$G$17,2,FALSE)</f>
        <v>BAJO</v>
      </c>
      <c r="AM41" s="80">
        <f t="shared" si="2"/>
        <v>1</v>
      </c>
      <c r="AN41" s="80" t="str">
        <f>VLOOKUP($AE41,[5]Tipologías!$A$21:$C$24,3,FALSE)</f>
        <v>BAJO</v>
      </c>
      <c r="AO41" s="80">
        <f t="shared" si="3"/>
        <v>1</v>
      </c>
      <c r="AP41" s="80">
        <f>VLOOKUP($AI41,[5]Tipologías!$A$38:$B$42,2,FALSE)</f>
        <v>1</v>
      </c>
      <c r="AQ41" s="80">
        <f>VLOOKUP($AJ41,[5]Tipologías!$A$46:$B$53,2,FALSE)</f>
        <v>1.25</v>
      </c>
      <c r="AR41" s="80" t="str">
        <f>IF(MAX(AM41,AO41)=3,"ALTO",IF(MAX(AM41,AO41)=2,"MEDIO",IF(MAX(AM41,AO41)=1,"BAJO","  ")))</f>
        <v>BAJO</v>
      </c>
      <c r="AS41" s="80" t="str">
        <f>VLOOKUP($AG41,[5]Tipologías!$A$29:$C$33,3,FALSE)</f>
        <v>MEDIO</v>
      </c>
      <c r="AT41" s="80" t="str">
        <f>IF(SUM($AP41,$AQ41)&gt;=3,"ALTO",IF(SUM($AP41,$AQ41)&lt;2,"BAJO","MEDIO"))</f>
        <v>MEDIO</v>
      </c>
      <c r="AU41" s="80" t="str">
        <f>_xlfn.IFNA(IF(AND(AR41="BAJO",AS41="BAJO",AT41="BAJO"),"BAJO",IF(AND(AR41="ALTO",AS41="ALTO",AT41="ALTO"),"ALTO",IF(COUNTIF(AR41:AT41,"ALTO")=2,"ALTO","MEDIO")))," ")</f>
        <v>MEDIO</v>
      </c>
      <c r="AV41" s="80" t="str">
        <f>_xlfn.IFNA(VLOOKUP(AD41,[5]Tipologías!$B$3:$G$17,4,0),"")</f>
        <v>INFORMACIÓN PÚBLICA</v>
      </c>
      <c r="AW41" s="80" t="str">
        <f>IF(AV41="INFORMACIÓN PÚBLICA","IPB",IF(AV41="INFORMACIÓN PÚBLICA CLASIFICADA","IPC",IF(AV41="INFORMACIÓN PÚBLICA RESERVADA","IPR",IF(AV41="",""))))</f>
        <v>IPB</v>
      </c>
      <c r="AX41" s="80" t="s">
        <v>195</v>
      </c>
      <c r="AY41" s="80" t="s">
        <v>195</v>
      </c>
      <c r="AZ41" s="80" t="s">
        <v>195</v>
      </c>
      <c r="BA41" s="148" t="s">
        <v>198</v>
      </c>
      <c r="BB41" s="166">
        <v>45077</v>
      </c>
      <c r="BC41" s="148" t="s">
        <v>195</v>
      </c>
      <c r="BD41" s="146" t="s">
        <v>461</v>
      </c>
      <c r="BE41" s="146" t="s">
        <v>462</v>
      </c>
      <c r="BF41" s="45"/>
      <c r="BG41" s="45"/>
      <c r="BH41" s="45"/>
      <c r="BI41" s="45"/>
      <c r="BJ41" s="45"/>
      <c r="BK41" s="45"/>
      <c r="BL41" s="45"/>
      <c r="BM41" s="45"/>
      <c r="BN41" s="45"/>
      <c r="BO41" s="45"/>
      <c r="BP41" s="45"/>
      <c r="BQ41" s="45"/>
      <c r="BR41" s="45"/>
      <c r="BS41" s="45"/>
      <c r="BT41" s="45"/>
      <c r="BU41" s="45"/>
      <c r="BV41" s="45"/>
      <c r="BW41" s="45"/>
      <c r="BX41" s="45"/>
    </row>
    <row r="42" spans="1:76" s="68" customFormat="1" ht="207.75" customHeight="1" x14ac:dyDescent="0.2">
      <c r="A42" s="76">
        <v>33</v>
      </c>
      <c r="B42" s="74" t="s">
        <v>65</v>
      </c>
      <c r="C42" s="74" t="s">
        <v>313</v>
      </c>
      <c r="D42" s="100" t="s">
        <v>61</v>
      </c>
      <c r="E42" s="100" t="s">
        <v>406</v>
      </c>
      <c r="F42" s="75" t="s">
        <v>463</v>
      </c>
      <c r="G42" s="74" t="s">
        <v>205</v>
      </c>
      <c r="H42" s="75" t="s">
        <v>61</v>
      </c>
      <c r="I42" s="75" t="s">
        <v>456</v>
      </c>
      <c r="J42" s="107" t="s">
        <v>319</v>
      </c>
      <c r="K42" s="100" t="s">
        <v>320</v>
      </c>
      <c r="L42" s="75" t="s">
        <v>321</v>
      </c>
      <c r="M42" s="75" t="s">
        <v>457</v>
      </c>
      <c r="N42" s="75" t="s">
        <v>458</v>
      </c>
      <c r="O42" s="116" t="s">
        <v>151</v>
      </c>
      <c r="P42" s="100" t="s">
        <v>459</v>
      </c>
      <c r="Q42" s="76" t="s">
        <v>325</v>
      </c>
      <c r="R42" s="76" t="s">
        <v>195</v>
      </c>
      <c r="S42" s="100" t="s">
        <v>406</v>
      </c>
      <c r="T42" s="100" t="s">
        <v>464</v>
      </c>
      <c r="U42" s="77" t="s">
        <v>328</v>
      </c>
      <c r="V42" s="77" t="s">
        <v>328</v>
      </c>
      <c r="W42" s="77" t="s">
        <v>195</v>
      </c>
      <c r="X42" s="77" t="s">
        <v>195</v>
      </c>
      <c r="Y42" s="77" t="s">
        <v>195</v>
      </c>
      <c r="Z42" s="77" t="s">
        <v>195</v>
      </c>
      <c r="AA42" s="77" t="s">
        <v>195</v>
      </c>
      <c r="AB42" s="77" t="s">
        <v>195</v>
      </c>
      <c r="AC42" s="138" t="s">
        <v>195</v>
      </c>
      <c r="AD42" s="142" t="s">
        <v>89</v>
      </c>
      <c r="AE42" s="142" t="s">
        <v>130</v>
      </c>
      <c r="AF42" s="136" t="s">
        <v>90</v>
      </c>
      <c r="AG42" s="77" t="s">
        <v>102</v>
      </c>
      <c r="AH42" s="136" t="str">
        <f t="shared" si="23"/>
        <v>MEDIO</v>
      </c>
      <c r="AI42" s="78" t="s">
        <v>115</v>
      </c>
      <c r="AJ42" s="77" t="s">
        <v>119</v>
      </c>
      <c r="AK42" s="136" t="s">
        <v>92</v>
      </c>
      <c r="AL42" s="80" t="str">
        <f>VLOOKUP($AD42,[5]Tipologías!$B$3:$G$17,2,FALSE)</f>
        <v>BAJO</v>
      </c>
      <c r="AM42" s="80">
        <f t="shared" si="2"/>
        <v>1</v>
      </c>
      <c r="AN42" s="80" t="str">
        <f>VLOOKUP($AE42,[5]Tipologías!$A$21:$C$24,3,FALSE)</f>
        <v>BAJO</v>
      </c>
      <c r="AO42" s="80">
        <f t="shared" si="3"/>
        <v>1</v>
      </c>
      <c r="AP42" s="80">
        <f>VLOOKUP($AI42,[5]Tipologías!$A$38:$B$42,2,FALSE)</f>
        <v>2</v>
      </c>
      <c r="AQ42" s="80">
        <f>VLOOKUP($AJ42,[5]Tipologías!$A$46:$B$53,2,FALSE)</f>
        <v>2</v>
      </c>
      <c r="AR42" s="80" t="str">
        <f>IF(MAX(AM42,AO42)=3,"ALTO",IF(MAX(AM42,AO42)=2,"MEDIO",IF(MAX(AM42,AO42)=1,"BAJO","  ")))</f>
        <v>BAJO</v>
      </c>
      <c r="AS42" s="80" t="str">
        <f>VLOOKUP($AG42,[5]Tipologías!$A$29:$C$33,3,FALSE)</f>
        <v>MEDIO</v>
      </c>
      <c r="AT42" s="80" t="str">
        <f>IF(SUM($AP42,$AQ42)&gt;=3,"ALTO",IF(SUM($AP42,$AQ42)&lt;2,"BAJO","MEDIO"))</f>
        <v>ALTO</v>
      </c>
      <c r="AU42" s="80" t="str">
        <f>_xlfn.IFNA(IF(AND(AR42="BAJO",AS42="BAJO",AT42="BAJO"),"BAJO",IF(AND(AR42="ALTO",AS42="ALTO",AT42="ALTO"),"ALTO",IF(COUNTIF(AR42:AT42,"ALTO")=2,"ALTO","MEDIO")))," ")</f>
        <v>MEDIO</v>
      </c>
      <c r="AV42" s="80" t="str">
        <f>_xlfn.IFNA(VLOOKUP(AD42,[5]Tipologías!$B$3:$G$17,4,0),"")</f>
        <v>INFORMACIÓN PÚBLICA</v>
      </c>
      <c r="AW42" s="80" t="str">
        <f>IF(AV42="INFORMACIÓN PÚBLICA","IPB",IF(AV42="INFORMACIÓN PÚBLICA CLASIFICADA","IPC",IF(AV42="INFORMACIÓN PÚBLICA RESERVADA","IPR",IF(AV42="",""))))</f>
        <v>IPB</v>
      </c>
      <c r="AX42" s="80" t="str">
        <f>_xlfn.IFNA(VLOOKUP(AD42,[5]Tipologías!$B$3:$G$17,3,0),"")</f>
        <v>LEY 1712 DE 2014 LEY DE TRANSPARENCIA Y DERECHO DE ACCESO A LA INFORMACIÓN. ARTÍCULO 6 DEFINICIONES LITERAL B.</v>
      </c>
      <c r="AY42" s="80" t="str">
        <f>_xlfn.IFNA(VLOOKUP(AD42,[5]Tipologías!$B$3:$G$17,5,0),"")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42" s="80" t="str">
        <f>_xlfn.IFNA(VLOOKUP(AD42,[5]Tipologías!$B$3:$G$17,6,0),"")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42" s="148" t="s">
        <v>198</v>
      </c>
      <c r="BB42" s="166">
        <v>45077</v>
      </c>
      <c r="BC42" s="148" t="s">
        <v>195</v>
      </c>
      <c r="BD42" s="146" t="s">
        <v>461</v>
      </c>
      <c r="BE42" s="146" t="s">
        <v>462</v>
      </c>
      <c r="BF42" s="45"/>
      <c r="BG42" s="45"/>
      <c r="BH42" s="45"/>
      <c r="BI42" s="45"/>
      <c r="BJ42" s="45"/>
      <c r="BK42" s="45"/>
      <c r="BL42" s="45"/>
      <c r="BM42" s="45"/>
      <c r="BN42" s="45"/>
      <c r="BO42" s="45"/>
      <c r="BP42" s="45"/>
      <c r="BQ42" s="45"/>
      <c r="BR42" s="45"/>
      <c r="BS42" s="45"/>
      <c r="BT42" s="45"/>
      <c r="BU42" s="45"/>
      <c r="BV42" s="45"/>
      <c r="BW42" s="45"/>
      <c r="BX42" s="45"/>
    </row>
    <row r="43" spans="1:76" s="67" customFormat="1" ht="207.75" customHeight="1" x14ac:dyDescent="0.2">
      <c r="A43" s="76">
        <v>34</v>
      </c>
      <c r="B43" s="117" t="s">
        <v>62</v>
      </c>
      <c r="C43" s="117" t="s">
        <v>308</v>
      </c>
      <c r="D43" s="120" t="s">
        <v>274</v>
      </c>
      <c r="E43" s="120" t="s">
        <v>465</v>
      </c>
      <c r="F43" s="118" t="s">
        <v>466</v>
      </c>
      <c r="G43" s="117" t="s">
        <v>140</v>
      </c>
      <c r="H43" s="118" t="s">
        <v>467</v>
      </c>
      <c r="I43" s="118" t="s">
        <v>468</v>
      </c>
      <c r="J43" s="151" t="s">
        <v>336</v>
      </c>
      <c r="K43" s="120" t="s">
        <v>320</v>
      </c>
      <c r="L43" s="118" t="s">
        <v>321</v>
      </c>
      <c r="M43" s="125" t="s">
        <v>195</v>
      </c>
      <c r="N43" s="118" t="s">
        <v>469</v>
      </c>
      <c r="O43" s="125" t="s">
        <v>144</v>
      </c>
      <c r="P43" s="120" t="s">
        <v>470</v>
      </c>
      <c r="Q43" s="119" t="s">
        <v>325</v>
      </c>
      <c r="R43" s="120" t="s">
        <v>195</v>
      </c>
      <c r="S43" s="120" t="s">
        <v>195</v>
      </c>
      <c r="T43" s="120" t="s">
        <v>195</v>
      </c>
      <c r="U43" s="121" t="s">
        <v>329</v>
      </c>
      <c r="V43" s="121" t="s">
        <v>195</v>
      </c>
      <c r="W43" s="121" t="s">
        <v>195</v>
      </c>
      <c r="X43" s="121" t="s">
        <v>195</v>
      </c>
      <c r="Y43" s="122" t="s">
        <v>195</v>
      </c>
      <c r="Z43" s="121" t="s">
        <v>195</v>
      </c>
      <c r="AA43" s="121" t="s">
        <v>195</v>
      </c>
      <c r="AB43" s="121" t="s">
        <v>195</v>
      </c>
      <c r="AC43" s="158" t="s">
        <v>195</v>
      </c>
      <c r="AD43" s="163" t="s">
        <v>216</v>
      </c>
      <c r="AE43" s="163" t="s">
        <v>134</v>
      </c>
      <c r="AF43" s="121" t="str">
        <f t="shared" ref="AF43:AF46" si="28">AR43</f>
        <v>ALTO</v>
      </c>
      <c r="AG43" s="121" t="s">
        <v>105</v>
      </c>
      <c r="AH43" s="136" t="str">
        <f t="shared" ref="AH43:AH46" si="29">_xlfn.IFNA((AS43),"")</f>
        <v>ALTO</v>
      </c>
      <c r="AI43" s="123" t="s">
        <v>115</v>
      </c>
      <c r="AJ43" s="121" t="s">
        <v>117</v>
      </c>
      <c r="AK43" s="121" t="s">
        <v>117</v>
      </c>
      <c r="AL43" s="124" t="str">
        <f>VLOOKUP($AD43,[6]Tipologías!$B$3:$G$17,2,FALSE)</f>
        <v>ALTO</v>
      </c>
      <c r="AM43" s="124">
        <f t="shared" si="2"/>
        <v>3</v>
      </c>
      <c r="AN43" s="124" t="str">
        <f>VLOOKUP($AE43,[6]Tipologías!$A$21:$C$24,3,FALSE)</f>
        <v>ALTO</v>
      </c>
      <c r="AO43" s="124">
        <f t="shared" si="3"/>
        <v>3</v>
      </c>
      <c r="AP43" s="124">
        <f>VLOOKUP($AI43,[6]Tipologías!$A$38:$B$42,2,FALSE)</f>
        <v>2</v>
      </c>
      <c r="AQ43" s="124">
        <f>VLOOKUP($AJ43,[6]Tipologías!$A$46:$B$53,2,FALSE)</f>
        <v>2.5</v>
      </c>
      <c r="AR43" s="124" t="str">
        <f t="shared" ref="AR43:AR46" si="30">IF(MAX(AM43,AO43)=3,"ALTO",IF(MAX(AM43,AO43)=2,"MEDIO",IF(MAX(AM43,AO43)=1,"BAJO","  ")))</f>
        <v>ALTO</v>
      </c>
      <c r="AS43" s="124" t="str">
        <f>VLOOKUP($AG43,[6]Tipologías!$A$29:$C$33,3,FALSE)</f>
        <v>ALTO</v>
      </c>
      <c r="AT43" s="124" t="str">
        <f t="shared" ref="AT43:AT46" si="31">IF(SUM($AP43,$AQ43)&gt;=3,"ALTO",IF(SUM($AP43,$AQ43)&lt;2,"BAJO","MEDIO"))</f>
        <v>ALTO</v>
      </c>
      <c r="AU43" s="80" t="str">
        <f t="shared" ref="AU43:AU46" si="32">_xlfn.IFNA(IF(AND(AR43="BAJO",AS43="BAJO",AT43="BAJO"),"BAJO",IF(AND(AR43="ALTO",AS43="ALTO",AT43="ALTO"),"ALTO",IF(COUNTIF(AR43:AT43,"ALTO")=2,"ALTO","MEDIO")))," ")</f>
        <v>ALTO</v>
      </c>
      <c r="AV43" s="80" t="str">
        <f>_xlfn.IFNA(VLOOKUP(AD43,[1]Tipologías!$B$3:$G$17,4,0),"")</f>
        <v>INFORMACIÓN PÚBLICA RESERVADA</v>
      </c>
      <c r="AW43" s="124" t="str">
        <f t="shared" ref="AW43:AW46" si="33">IF(AV43="INFORMACIÓN PÚBLICA","IPB",IF(AV43="INFORMACIÓN PÚBLICA CLASIFICADA","IPC",IF(AV43="INFORMACIÓN PÚBLICA RESERVADA","IPR",IF(AV43="",""))))</f>
        <v>IPR</v>
      </c>
      <c r="AX43" s="80" t="str">
        <f>_xlfn.IFNA(VLOOKUP(AD43,[1]Tipologías!$B$3:$G$17,3,0),"")</f>
        <v>LEY 1712   DE 2014 ARTÍCULO 19 LITERAL H "LA ESTABILIDAD MACROECONÓMICA Y FINANCIERA DEL PAÍS."</v>
      </c>
      <c r="AY43" s="80" t="str">
        <f>_xlfn.IFNA(VLOOKUP(AD43,[1]Tipologías!$B$3:$G$17,5,0),"")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3" s="80" t="str">
        <f>_xlfn.IFNA(VLOOKUP(AD43,[1]Tipologías!$B$3:$G$17,6,0),"")</f>
        <v xml:space="preserve">LEY 1712 DE 2014 ARTÍCULO 19  </v>
      </c>
      <c r="BA43" s="168" t="s">
        <v>197</v>
      </c>
      <c r="BB43" s="169">
        <v>45133</v>
      </c>
      <c r="BC43" s="168" t="s">
        <v>195</v>
      </c>
      <c r="BD43" s="170" t="s">
        <v>471</v>
      </c>
      <c r="BE43" s="170" t="s">
        <v>472</v>
      </c>
      <c r="BF43" s="45"/>
      <c r="BG43" s="45"/>
      <c r="BH43" s="45"/>
      <c r="BI43" s="45"/>
      <c r="BJ43" s="45"/>
      <c r="BK43" s="45"/>
      <c r="BL43" s="45"/>
      <c r="BM43" s="45"/>
      <c r="BN43" s="45"/>
      <c r="BO43" s="45"/>
      <c r="BP43" s="45"/>
      <c r="BQ43" s="45"/>
      <c r="BR43" s="45"/>
      <c r="BS43" s="45"/>
      <c r="BT43" s="45"/>
      <c r="BU43" s="45"/>
      <c r="BV43" s="45"/>
      <c r="BW43" s="45"/>
      <c r="BX43" s="45"/>
    </row>
    <row r="44" spans="1:76" s="67" customFormat="1" ht="207.75" customHeight="1" x14ac:dyDescent="0.2">
      <c r="A44" s="76">
        <v>35</v>
      </c>
      <c r="B44" s="117" t="s">
        <v>62</v>
      </c>
      <c r="C44" s="117" t="s">
        <v>308</v>
      </c>
      <c r="D44" s="120" t="s">
        <v>274</v>
      </c>
      <c r="E44" s="120" t="s">
        <v>473</v>
      </c>
      <c r="F44" s="118" t="s">
        <v>474</v>
      </c>
      <c r="G44" s="117" t="s">
        <v>205</v>
      </c>
      <c r="H44" s="118" t="s">
        <v>467</v>
      </c>
      <c r="I44" s="118" t="s">
        <v>468</v>
      </c>
      <c r="J44" s="151" t="s">
        <v>336</v>
      </c>
      <c r="K44" s="120" t="s">
        <v>320</v>
      </c>
      <c r="L44" s="118" t="s">
        <v>321</v>
      </c>
      <c r="M44" s="125" t="s">
        <v>195</v>
      </c>
      <c r="N44" s="118" t="s">
        <v>469</v>
      </c>
      <c r="O44" s="125" t="s">
        <v>144</v>
      </c>
      <c r="P44" s="120" t="s">
        <v>470</v>
      </c>
      <c r="Q44" s="119" t="s">
        <v>325</v>
      </c>
      <c r="R44" s="120" t="s">
        <v>325</v>
      </c>
      <c r="S44" s="120" t="s">
        <v>195</v>
      </c>
      <c r="T44" s="120" t="s">
        <v>195</v>
      </c>
      <c r="U44" s="121" t="s">
        <v>328</v>
      </c>
      <c r="V44" s="121" t="s">
        <v>328</v>
      </c>
      <c r="W44" s="121" t="s">
        <v>328</v>
      </c>
      <c r="X44" s="121" t="s">
        <v>328</v>
      </c>
      <c r="Y44" s="121" t="s">
        <v>329</v>
      </c>
      <c r="Z44" s="121" t="s">
        <v>329</v>
      </c>
      <c r="AA44" s="121" t="s">
        <v>195</v>
      </c>
      <c r="AB44" s="121" t="s">
        <v>195</v>
      </c>
      <c r="AC44" s="158" t="s">
        <v>195</v>
      </c>
      <c r="AD44" s="163" t="s">
        <v>216</v>
      </c>
      <c r="AE44" s="163" t="s">
        <v>134</v>
      </c>
      <c r="AF44" s="121" t="str">
        <f t="shared" si="28"/>
        <v>ALTO</v>
      </c>
      <c r="AG44" s="121" t="s">
        <v>104</v>
      </c>
      <c r="AH44" s="136" t="str">
        <f t="shared" si="29"/>
        <v>ALTO</v>
      </c>
      <c r="AI44" s="123" t="s">
        <v>114</v>
      </c>
      <c r="AJ44" s="121" t="s">
        <v>119</v>
      </c>
      <c r="AK44" s="121" t="s">
        <v>119</v>
      </c>
      <c r="AL44" s="124" t="str">
        <f>VLOOKUP($AD44,[6]Tipologías!$B$3:$G$17,2,FALSE)</f>
        <v>ALTO</v>
      </c>
      <c r="AM44" s="124">
        <f t="shared" si="2"/>
        <v>3</v>
      </c>
      <c r="AN44" s="124" t="str">
        <f>VLOOKUP($AE44,[6]Tipologías!$A$21:$C$24,3,FALSE)</f>
        <v>ALTO</v>
      </c>
      <c r="AO44" s="124">
        <f t="shared" si="3"/>
        <v>3</v>
      </c>
      <c r="AP44" s="124">
        <f>VLOOKUP($AI44,[6]Tipologías!$A$38:$B$42,2,FALSE)</f>
        <v>1.5</v>
      </c>
      <c r="AQ44" s="124">
        <f>VLOOKUP($AJ44,[6]Tipologías!$A$46:$B$53,2,FALSE)</f>
        <v>2</v>
      </c>
      <c r="AR44" s="124" t="str">
        <f t="shared" si="30"/>
        <v>ALTO</v>
      </c>
      <c r="AS44" s="124" t="str">
        <f>VLOOKUP($AG44,[6]Tipologías!$A$29:$C$33,3,FALSE)</f>
        <v>ALTO</v>
      </c>
      <c r="AT44" s="124" t="str">
        <f t="shared" si="31"/>
        <v>ALTO</v>
      </c>
      <c r="AU44" s="80" t="str">
        <f t="shared" si="32"/>
        <v>ALTO</v>
      </c>
      <c r="AV44" s="80" t="str">
        <f>_xlfn.IFNA(VLOOKUP(AD44,[1]Tipologías!$B$3:$G$17,4,0),"")</f>
        <v>INFORMACIÓN PÚBLICA RESERVADA</v>
      </c>
      <c r="AW44" s="124" t="str">
        <f t="shared" si="33"/>
        <v>IPR</v>
      </c>
      <c r="AX44" s="80" t="str">
        <f>_xlfn.IFNA(VLOOKUP(AD44,[1]Tipologías!$B$3:$G$17,3,0),"")</f>
        <v>LEY 1712   DE 2014 ARTÍCULO 19 LITERAL H "LA ESTABILIDAD MACROECONÓMICA Y FINANCIERA DEL PAÍS."</v>
      </c>
      <c r="AY44" s="80" t="str">
        <f>_xlfn.IFNA(VLOOKUP(AD44,[1]Tipologías!$B$3:$G$17,5,0),"")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4" s="80" t="str">
        <f>_xlfn.IFNA(VLOOKUP(AD44,[1]Tipologías!$B$3:$G$17,6,0),"")</f>
        <v xml:space="preserve">LEY 1712 DE 2014 ARTÍCULO 19  </v>
      </c>
      <c r="BA44" s="168" t="s">
        <v>197</v>
      </c>
      <c r="BB44" s="169">
        <v>45133</v>
      </c>
      <c r="BC44" s="168" t="s">
        <v>230</v>
      </c>
      <c r="BD44" s="170" t="s">
        <v>471</v>
      </c>
      <c r="BE44" s="170" t="s">
        <v>472</v>
      </c>
      <c r="BF44" s="45"/>
      <c r="BG44" s="45"/>
      <c r="BH44" s="45"/>
      <c r="BI44" s="45"/>
      <c r="BJ44" s="45"/>
      <c r="BK44" s="45"/>
      <c r="BL44" s="45"/>
      <c r="BM44" s="45"/>
      <c r="BN44" s="45"/>
      <c r="BO44" s="45"/>
      <c r="BP44" s="45"/>
      <c r="BQ44" s="45"/>
      <c r="BR44" s="45"/>
      <c r="BS44" s="45"/>
      <c r="BT44" s="45"/>
      <c r="BU44" s="45"/>
      <c r="BV44" s="45"/>
      <c r="BW44" s="45"/>
      <c r="BX44" s="45"/>
    </row>
    <row r="45" spans="1:76" s="67" customFormat="1" ht="207.75" customHeight="1" x14ac:dyDescent="0.2">
      <c r="A45" s="76">
        <v>36</v>
      </c>
      <c r="B45" s="117" t="s">
        <v>62</v>
      </c>
      <c r="C45" s="117" t="s">
        <v>308</v>
      </c>
      <c r="D45" s="120" t="s">
        <v>274</v>
      </c>
      <c r="E45" s="120" t="s">
        <v>475</v>
      </c>
      <c r="F45" s="118" t="s">
        <v>476</v>
      </c>
      <c r="G45" s="117" t="s">
        <v>140</v>
      </c>
      <c r="H45" s="118" t="s">
        <v>467</v>
      </c>
      <c r="I45" s="118" t="s">
        <v>468</v>
      </c>
      <c r="J45" s="151" t="s">
        <v>336</v>
      </c>
      <c r="K45" s="120" t="s">
        <v>320</v>
      </c>
      <c r="L45" s="118" t="s">
        <v>321</v>
      </c>
      <c r="M45" s="125" t="s">
        <v>195</v>
      </c>
      <c r="N45" s="118" t="s">
        <v>469</v>
      </c>
      <c r="O45" s="125" t="s">
        <v>144</v>
      </c>
      <c r="P45" s="120" t="s">
        <v>477</v>
      </c>
      <c r="Q45" s="119" t="s">
        <v>325</v>
      </c>
      <c r="R45" s="119" t="s">
        <v>195</v>
      </c>
      <c r="S45" s="119" t="s">
        <v>195</v>
      </c>
      <c r="T45" s="119" t="s">
        <v>195</v>
      </c>
      <c r="U45" s="121" t="s">
        <v>195</v>
      </c>
      <c r="V45" s="121" t="s">
        <v>195</v>
      </c>
      <c r="W45" s="121" t="s">
        <v>195</v>
      </c>
      <c r="X45" s="121" t="s">
        <v>195</v>
      </c>
      <c r="Y45" s="121" t="s">
        <v>195</v>
      </c>
      <c r="Z45" s="121" t="s">
        <v>195</v>
      </c>
      <c r="AA45" s="121" t="s">
        <v>195</v>
      </c>
      <c r="AB45" s="121" t="s">
        <v>195</v>
      </c>
      <c r="AC45" s="121" t="s">
        <v>195</v>
      </c>
      <c r="AD45" s="163" t="s">
        <v>216</v>
      </c>
      <c r="AE45" s="163" t="s">
        <v>134</v>
      </c>
      <c r="AF45" s="121" t="str">
        <f t="shared" si="28"/>
        <v>ALTO</v>
      </c>
      <c r="AG45" s="121" t="s">
        <v>104</v>
      </c>
      <c r="AH45" s="136" t="str">
        <f t="shared" si="29"/>
        <v>ALTO</v>
      </c>
      <c r="AI45" s="123" t="s">
        <v>114</v>
      </c>
      <c r="AJ45" s="121" t="s">
        <v>119</v>
      </c>
      <c r="AK45" s="121" t="s">
        <v>119</v>
      </c>
      <c r="AL45" s="124" t="str">
        <f>VLOOKUP($AD45,[6]Tipologías!$B$3:$G$17,2,FALSE)</f>
        <v>ALTO</v>
      </c>
      <c r="AM45" s="124">
        <f t="shared" si="2"/>
        <v>3</v>
      </c>
      <c r="AN45" s="124" t="str">
        <f>VLOOKUP($AE45,[6]Tipologías!$A$21:$C$24,3,FALSE)</f>
        <v>ALTO</v>
      </c>
      <c r="AO45" s="124">
        <f t="shared" si="3"/>
        <v>3</v>
      </c>
      <c r="AP45" s="124">
        <f>VLOOKUP($AI45,[6]Tipologías!$A$38:$B$42,2,FALSE)</f>
        <v>1.5</v>
      </c>
      <c r="AQ45" s="124">
        <f>VLOOKUP($AJ45,[6]Tipologías!$A$46:$B$53,2,FALSE)</f>
        <v>2</v>
      </c>
      <c r="AR45" s="124" t="str">
        <f t="shared" si="30"/>
        <v>ALTO</v>
      </c>
      <c r="AS45" s="124" t="str">
        <f>VLOOKUP($AG45,[6]Tipologías!$A$29:$C$33,3,FALSE)</f>
        <v>ALTO</v>
      </c>
      <c r="AT45" s="124" t="str">
        <f t="shared" si="31"/>
        <v>ALTO</v>
      </c>
      <c r="AU45" s="80" t="str">
        <f t="shared" si="32"/>
        <v>ALTO</v>
      </c>
      <c r="AV45" s="80" t="str">
        <f>_xlfn.IFNA(VLOOKUP(AD45,[1]Tipologías!$B$3:$G$17,4,0),"")</f>
        <v>INFORMACIÓN PÚBLICA RESERVADA</v>
      </c>
      <c r="AW45" s="124" t="str">
        <f t="shared" si="33"/>
        <v>IPR</v>
      </c>
      <c r="AX45" s="80" t="str">
        <f>_xlfn.IFNA(VLOOKUP(AD45,[1]Tipologías!$B$3:$G$17,3,0),"")</f>
        <v>LEY 1712   DE 2014 ARTÍCULO 19 LITERAL H "LA ESTABILIDAD MACROECONÓMICA Y FINANCIERA DEL PAÍS."</v>
      </c>
      <c r="AY45" s="80" t="str">
        <f>_xlfn.IFNA(VLOOKUP(AD45,[1]Tipologías!$B$3:$G$17,5,0),"")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45" s="80" t="str">
        <f>_xlfn.IFNA(VLOOKUP(AD45,[1]Tipologías!$B$3:$G$17,6,0),"")</f>
        <v xml:space="preserve">LEY 1712 DE 2014 ARTÍCULO 19  </v>
      </c>
      <c r="BA45" s="168" t="s">
        <v>197</v>
      </c>
      <c r="BB45" s="169">
        <v>45133</v>
      </c>
      <c r="BC45" s="168" t="s">
        <v>195</v>
      </c>
      <c r="BD45" s="170" t="s">
        <v>478</v>
      </c>
      <c r="BE45" s="170" t="s">
        <v>472</v>
      </c>
      <c r="BF45" s="45"/>
      <c r="BG45" s="45"/>
      <c r="BH45" s="45"/>
      <c r="BI45" s="45"/>
      <c r="BJ45" s="45"/>
      <c r="BK45" s="45"/>
      <c r="BL45" s="45"/>
      <c r="BM45" s="45"/>
      <c r="BN45" s="45"/>
      <c r="BO45" s="45"/>
      <c r="BP45" s="45"/>
      <c r="BQ45" s="45"/>
      <c r="BR45" s="45"/>
      <c r="BS45" s="45"/>
      <c r="BT45" s="45"/>
      <c r="BU45" s="45"/>
      <c r="BV45" s="45"/>
      <c r="BW45" s="45"/>
      <c r="BX45" s="45"/>
    </row>
    <row r="46" spans="1:76" s="68" customFormat="1" ht="207.75" customHeight="1" x14ac:dyDescent="0.2">
      <c r="A46" s="76">
        <v>37</v>
      </c>
      <c r="B46" s="117" t="s">
        <v>62</v>
      </c>
      <c r="C46" s="117" t="s">
        <v>308</v>
      </c>
      <c r="D46" s="120" t="s">
        <v>274</v>
      </c>
      <c r="E46" s="120" t="s">
        <v>479</v>
      </c>
      <c r="F46" s="118" t="s">
        <v>480</v>
      </c>
      <c r="G46" s="117" t="s">
        <v>174</v>
      </c>
      <c r="H46" s="118" t="s">
        <v>467</v>
      </c>
      <c r="I46" s="118" t="s">
        <v>481</v>
      </c>
      <c r="J46" s="151" t="s">
        <v>336</v>
      </c>
      <c r="K46" s="120" t="s">
        <v>320</v>
      </c>
      <c r="L46" s="118" t="s">
        <v>321</v>
      </c>
      <c r="M46" s="118" t="s">
        <v>482</v>
      </c>
      <c r="N46" s="118" t="s">
        <v>483</v>
      </c>
      <c r="O46" s="125" t="s">
        <v>151</v>
      </c>
      <c r="P46" s="120" t="s">
        <v>470</v>
      </c>
      <c r="Q46" s="119" t="s">
        <v>325</v>
      </c>
      <c r="R46" s="119" t="s">
        <v>325</v>
      </c>
      <c r="S46" s="119" t="s">
        <v>195</v>
      </c>
      <c r="T46" s="119" t="s">
        <v>195</v>
      </c>
      <c r="U46" s="121" t="s">
        <v>328</v>
      </c>
      <c r="V46" s="121" t="s">
        <v>328</v>
      </c>
      <c r="W46" s="121" t="s">
        <v>328</v>
      </c>
      <c r="X46" s="121" t="s">
        <v>328</v>
      </c>
      <c r="Y46" s="121" t="s">
        <v>329</v>
      </c>
      <c r="Z46" s="121" t="s">
        <v>329</v>
      </c>
      <c r="AA46" s="121" t="s">
        <v>195</v>
      </c>
      <c r="AB46" s="121" t="s">
        <v>195</v>
      </c>
      <c r="AC46" s="121" t="s">
        <v>195</v>
      </c>
      <c r="AD46" s="163" t="s">
        <v>206</v>
      </c>
      <c r="AE46" s="163" t="s">
        <v>132</v>
      </c>
      <c r="AF46" s="121" t="str">
        <f t="shared" si="28"/>
        <v>ALTO</v>
      </c>
      <c r="AG46" s="121" t="s">
        <v>105</v>
      </c>
      <c r="AH46" s="136" t="str">
        <f t="shared" si="29"/>
        <v>ALTO</v>
      </c>
      <c r="AI46" s="123" t="s">
        <v>115</v>
      </c>
      <c r="AJ46" s="121" t="s">
        <v>117</v>
      </c>
      <c r="AK46" s="121" t="e">
        <f t="shared" ref="AK46" ca="1" si="34">_xludf.IFNA((AT46),"")</f>
        <v>#NAME?</v>
      </c>
      <c r="AL46" s="124" t="str">
        <f>VLOOKUP($AD46,[6]Tipologías!$B$3:$G$17,2,FALSE)</f>
        <v>ALTO</v>
      </c>
      <c r="AM46" s="124">
        <f t="shared" si="2"/>
        <v>3</v>
      </c>
      <c r="AN46" s="124" t="str">
        <f>VLOOKUP($AE46,[6]Tipologías!$A$21:$C$24,3,FALSE)</f>
        <v>MEDIO</v>
      </c>
      <c r="AO46" s="124">
        <f t="shared" si="3"/>
        <v>2</v>
      </c>
      <c r="AP46" s="124">
        <f>VLOOKUP($AI46,[6]Tipologías!$A$38:$B$42,2,FALSE)</f>
        <v>2</v>
      </c>
      <c r="AQ46" s="124">
        <f>VLOOKUP($AJ46,[6]Tipologías!$A$46:$B$53,2,FALSE)</f>
        <v>2.5</v>
      </c>
      <c r="AR46" s="124" t="str">
        <f t="shared" si="30"/>
        <v>ALTO</v>
      </c>
      <c r="AS46" s="124" t="str">
        <f>VLOOKUP($AG46,[6]Tipologías!$A$29:$C$33,3,FALSE)</f>
        <v>ALTO</v>
      </c>
      <c r="AT46" s="124" t="str">
        <f t="shared" si="31"/>
        <v>ALTO</v>
      </c>
      <c r="AU46" s="80" t="str">
        <f t="shared" si="32"/>
        <v>ALTO</v>
      </c>
      <c r="AV46" s="80" t="str">
        <f>_xlfn.IFNA(VLOOKUP(AD46,[1]Tipologías!$B$3:$G$17,4,0),"")</f>
        <v>INFORMACIÓN PÚBLICA CLASIFICADA</v>
      </c>
      <c r="AW46" s="124" t="str">
        <f t="shared" si="33"/>
        <v>IPC</v>
      </c>
      <c r="AX46" s="80" t="str">
        <f>_xlfn.IFNA(VLOOKUP(AD46,[1]Tipologías!$B$3:$G$17,3,0),"")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6" s="80" t="str">
        <f>_xlfn.IFNA(VLOOKUP(AD46,[1]Tipologías!$B$3:$G$17,5,0),"")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6" s="80" t="str">
        <f>_xlfn.IFNA(VLOOKUP(AD46,[1]Tipologías!$B$3:$G$17,6,0),"")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6" s="168" t="s">
        <v>196</v>
      </c>
      <c r="BB46" s="169">
        <v>45133</v>
      </c>
      <c r="BC46" s="168" t="s">
        <v>201</v>
      </c>
      <c r="BD46" s="170" t="s">
        <v>484</v>
      </c>
      <c r="BE46" s="170" t="s">
        <v>472</v>
      </c>
      <c r="BF46" s="45"/>
      <c r="BG46" s="45"/>
      <c r="BH46" s="45"/>
      <c r="BI46" s="45"/>
      <c r="BJ46" s="45"/>
      <c r="BK46" s="45"/>
      <c r="BL46" s="45"/>
      <c r="BM46" s="45"/>
      <c r="BN46" s="45"/>
      <c r="BO46" s="45"/>
      <c r="BP46" s="45"/>
      <c r="BQ46" s="45"/>
      <c r="BR46" s="45"/>
      <c r="BS46" s="45"/>
      <c r="BT46" s="45"/>
      <c r="BU46" s="45"/>
      <c r="BV46" s="45"/>
      <c r="BW46" s="45"/>
      <c r="BX46" s="45"/>
    </row>
    <row r="47" spans="1:76" s="67" customFormat="1" ht="207.75" customHeight="1" x14ac:dyDescent="0.2">
      <c r="A47" s="76">
        <v>38</v>
      </c>
      <c r="B47" s="74" t="s">
        <v>62</v>
      </c>
      <c r="C47" s="74" t="s">
        <v>312</v>
      </c>
      <c r="D47" s="100" t="s">
        <v>269</v>
      </c>
      <c r="E47" s="100" t="s">
        <v>485</v>
      </c>
      <c r="F47" s="75" t="s">
        <v>486</v>
      </c>
      <c r="G47" s="74" t="s">
        <v>174</v>
      </c>
      <c r="H47" s="75" t="s">
        <v>487</v>
      </c>
      <c r="I47" s="75" t="s">
        <v>488</v>
      </c>
      <c r="J47" s="107" t="s">
        <v>336</v>
      </c>
      <c r="K47" s="100" t="s">
        <v>320</v>
      </c>
      <c r="L47" s="75" t="s">
        <v>321</v>
      </c>
      <c r="M47" s="116" t="s">
        <v>195</v>
      </c>
      <c r="N47" s="75" t="s">
        <v>489</v>
      </c>
      <c r="O47" s="116" t="s">
        <v>151</v>
      </c>
      <c r="P47" s="100" t="s">
        <v>338</v>
      </c>
      <c r="Q47" s="76" t="s">
        <v>325</v>
      </c>
      <c r="R47" s="76" t="s">
        <v>325</v>
      </c>
      <c r="S47" s="100" t="s">
        <v>195</v>
      </c>
      <c r="T47" s="100" t="s">
        <v>195</v>
      </c>
      <c r="U47" s="77" t="s">
        <v>328</v>
      </c>
      <c r="V47" s="77" t="s">
        <v>328</v>
      </c>
      <c r="W47" s="77" t="s">
        <v>328</v>
      </c>
      <c r="X47" s="77" t="s">
        <v>328</v>
      </c>
      <c r="Y47" s="77" t="s">
        <v>329</v>
      </c>
      <c r="Z47" s="77" t="s">
        <v>329</v>
      </c>
      <c r="AA47" s="77" t="s">
        <v>195</v>
      </c>
      <c r="AB47" s="77" t="s">
        <v>195</v>
      </c>
      <c r="AC47" s="138" t="s">
        <v>195</v>
      </c>
      <c r="AD47" s="142" t="s">
        <v>206</v>
      </c>
      <c r="AE47" s="142" t="s">
        <v>134</v>
      </c>
      <c r="AF47" s="136" t="str">
        <f t="shared" ref="AF47:AF53" si="35">AR47</f>
        <v>ALTO</v>
      </c>
      <c r="AG47" s="77" t="s">
        <v>102</v>
      </c>
      <c r="AH47" s="136" t="str">
        <f t="shared" ref="AH47:AH52" si="36">_xlfn.IFNA((AS47),"")</f>
        <v>MEDIO</v>
      </c>
      <c r="AI47" s="78" t="s">
        <v>111</v>
      </c>
      <c r="AJ47" s="77" t="s">
        <v>121</v>
      </c>
      <c r="AK47" s="136" t="str">
        <f t="shared" ref="AK47:AK52" si="37">_xlfn.IFNA((AT47),"")</f>
        <v>BAJO</v>
      </c>
      <c r="AL47" s="80" t="str">
        <f>VLOOKUP($AD47,[7]Tipologías!$B$3:$G$17,2,FALSE)</f>
        <v>ALTO</v>
      </c>
      <c r="AM47" s="80">
        <f t="shared" si="2"/>
        <v>3</v>
      </c>
      <c r="AN47" s="80" t="str">
        <f>VLOOKUP($AE47,[7]Tipologías!$A$21:$C$24,3,FALSE)</f>
        <v>ALTO</v>
      </c>
      <c r="AO47" s="80">
        <f t="shared" si="3"/>
        <v>3</v>
      </c>
      <c r="AP47" s="80">
        <f>VLOOKUP($AI47,[7]Tipologías!$A$38:$B$42,2,FALSE)</f>
        <v>0.5</v>
      </c>
      <c r="AQ47" s="80">
        <f>VLOOKUP($AJ47,[7]Tipologías!$A$46:$B$53,2,FALSE)</f>
        <v>1.25</v>
      </c>
      <c r="AR47" s="80" t="str">
        <f>IF(MAX(AM47,AO47)=3,"ALTO",IF(MAX(AM47,AO47)=2,"MEDIO",IF(MAX(AM47,AO47)=1,"BAJO","  ")))</f>
        <v>ALTO</v>
      </c>
      <c r="AS47" s="80" t="str">
        <f>VLOOKUP($AG47,[7]Tipologías!$A$29:$C$33,3,FALSE)</f>
        <v>MEDIO</v>
      </c>
      <c r="AT47" s="80" t="str">
        <f>IF(SUM($AP47,$AQ47)&gt;=3,"ALTO",IF(SUM($AP47,$AQ47)&lt;2,"BAJO","MEDIO"))</f>
        <v>BAJO</v>
      </c>
      <c r="AU47" s="80" t="str">
        <f>_xlfn.IFNA(IF(AND(AR47="BAJO",AS47="BAJO",AT47="BAJO"),"BAJO",IF(AND(AR47="ALTO",AS47="ALTO",AT47="ALTO"),"ALTO",IF(COUNTIF(AR47:AT47,"ALTO")=2,"ALTO","MEDIO")))," ")</f>
        <v>MEDIO</v>
      </c>
      <c r="AV47" s="80" t="str">
        <f>_xlfn.IFNA(VLOOKUP(AD47,[7]Tipologías!$B$3:$G$17,4,0),"")</f>
        <v>INFORMACIÓN PÚBLICA CLASIFICADA</v>
      </c>
      <c r="AW47" s="80" t="str">
        <f>IF(AV47="INFORMACIÓN PÚBLICA","IPB",IF(AV47="INFORMACIÓN PÚBLICA CLASIFICADA","IPC",IF(AV47="INFORMACIÓN PÚBLICA RESERVADA","IPR",IF(AV47="",""))))</f>
        <v>IPC</v>
      </c>
      <c r="AX47" s="80" t="str">
        <f>_xlfn.IFNA(VLOOKUP(AD47,[7]Tipologías!$B$3:$G$17,3,0),"")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7" s="80" t="str">
        <f>_xlfn.IFNA(VLOOKUP(AD47,[7]Tipologías!$B$3:$G$17,5,0),"")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7" s="80" t="str">
        <f>_xlfn.IFNA(VLOOKUP(AD47,[7]Tipologías!$B$3:$G$17,6,0),"")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7" s="148" t="s">
        <v>197</v>
      </c>
      <c r="BB47" s="166">
        <v>45105</v>
      </c>
      <c r="BC47" s="148" t="s">
        <v>224</v>
      </c>
      <c r="BD47" s="146" t="s">
        <v>490</v>
      </c>
      <c r="BE47" s="146" t="s">
        <v>491</v>
      </c>
      <c r="BF47" s="45"/>
      <c r="BG47" s="45"/>
      <c r="BH47" s="45"/>
      <c r="BI47" s="45"/>
      <c r="BJ47" s="45"/>
      <c r="BK47" s="45"/>
      <c r="BL47" s="45"/>
      <c r="BM47" s="45"/>
      <c r="BN47" s="45"/>
      <c r="BO47" s="45"/>
      <c r="BP47" s="45"/>
      <c r="BQ47" s="45"/>
      <c r="BR47" s="45"/>
      <c r="BS47" s="45"/>
      <c r="BT47" s="45"/>
      <c r="BU47" s="45"/>
      <c r="BV47" s="45"/>
      <c r="BW47" s="45"/>
      <c r="BX47" s="45"/>
    </row>
    <row r="48" spans="1:76" s="68" customFormat="1" ht="207.75" customHeight="1" x14ac:dyDescent="0.2">
      <c r="A48" s="76">
        <v>39</v>
      </c>
      <c r="B48" s="74" t="s">
        <v>62</v>
      </c>
      <c r="C48" s="74" t="s">
        <v>312</v>
      </c>
      <c r="D48" s="100" t="s">
        <v>269</v>
      </c>
      <c r="E48" s="100" t="s">
        <v>485</v>
      </c>
      <c r="F48" s="75" t="s">
        <v>492</v>
      </c>
      <c r="G48" s="74" t="s">
        <v>205</v>
      </c>
      <c r="H48" s="75" t="s">
        <v>487</v>
      </c>
      <c r="I48" s="75" t="s">
        <v>488</v>
      </c>
      <c r="J48" s="107" t="s">
        <v>336</v>
      </c>
      <c r="K48" s="100" t="s">
        <v>320</v>
      </c>
      <c r="L48" s="75" t="s">
        <v>321</v>
      </c>
      <c r="M48" s="116" t="s">
        <v>195</v>
      </c>
      <c r="N48" s="75" t="s">
        <v>489</v>
      </c>
      <c r="O48" s="116" t="s">
        <v>151</v>
      </c>
      <c r="P48" s="100" t="s">
        <v>338</v>
      </c>
      <c r="Q48" s="76" t="s">
        <v>325</v>
      </c>
      <c r="R48" s="76" t="s">
        <v>325</v>
      </c>
      <c r="S48" s="100" t="s">
        <v>195</v>
      </c>
      <c r="T48" s="100" t="s">
        <v>195</v>
      </c>
      <c r="U48" s="77" t="s">
        <v>328</v>
      </c>
      <c r="V48" s="77" t="s">
        <v>328</v>
      </c>
      <c r="W48" s="77" t="s">
        <v>328</v>
      </c>
      <c r="X48" s="77" t="s">
        <v>329</v>
      </c>
      <c r="Y48" s="77" t="s">
        <v>329</v>
      </c>
      <c r="Z48" s="77" t="s">
        <v>329</v>
      </c>
      <c r="AA48" s="77" t="s">
        <v>195</v>
      </c>
      <c r="AB48" s="77" t="s">
        <v>195</v>
      </c>
      <c r="AC48" s="138" t="s">
        <v>195</v>
      </c>
      <c r="AD48" s="142" t="s">
        <v>89</v>
      </c>
      <c r="AE48" s="142" t="s">
        <v>130</v>
      </c>
      <c r="AF48" s="136" t="str">
        <f t="shared" si="35"/>
        <v>BAJO</v>
      </c>
      <c r="AG48" s="77" t="s">
        <v>102</v>
      </c>
      <c r="AH48" s="136" t="str">
        <f t="shared" si="36"/>
        <v>MEDIO</v>
      </c>
      <c r="AI48" s="78" t="s">
        <v>111</v>
      </c>
      <c r="AJ48" s="77" t="s">
        <v>121</v>
      </c>
      <c r="AK48" s="136" t="str">
        <f t="shared" si="37"/>
        <v>BAJO</v>
      </c>
      <c r="AL48" s="80" t="str">
        <f>VLOOKUP($AD48,[7]Tipologías!$B$3:$G$17,2,FALSE)</f>
        <v>BAJO</v>
      </c>
      <c r="AM48" s="80">
        <f t="shared" si="2"/>
        <v>1</v>
      </c>
      <c r="AN48" s="80" t="str">
        <f>VLOOKUP($AE48,[7]Tipologías!$A$21:$C$24,3,FALSE)</f>
        <v>BAJO</v>
      </c>
      <c r="AO48" s="80">
        <f t="shared" si="3"/>
        <v>1</v>
      </c>
      <c r="AP48" s="80">
        <f>VLOOKUP($AI48,[7]Tipologías!$A$38:$B$42,2,FALSE)</f>
        <v>0.5</v>
      </c>
      <c r="AQ48" s="80">
        <f>VLOOKUP($AJ48,[7]Tipologías!$A$46:$B$53,2,FALSE)</f>
        <v>1.25</v>
      </c>
      <c r="AR48" s="80" t="str">
        <f>IF(MAX(AM48,AO48)=3,"ALTO",IF(MAX(AM48,AO48)=2,"MEDIO",IF(MAX(AM48,AO48)=1,"BAJO","  ")))</f>
        <v>BAJO</v>
      </c>
      <c r="AS48" s="80" t="str">
        <f>VLOOKUP($AG48,[7]Tipologías!$A$29:$C$33,3,FALSE)</f>
        <v>MEDIO</v>
      </c>
      <c r="AT48" s="80" t="str">
        <f>IF(SUM($AP48,$AQ48)&gt;=3,"ALTO",IF(SUM($AP48,$AQ48)&lt;2,"BAJO","MEDIO"))</f>
        <v>BAJO</v>
      </c>
      <c r="AU48" s="80" t="str">
        <f>_xlfn.IFNA(IF(AND(AR48="BAJO",AS48="BAJO",AT48="BAJO"),"BAJO",IF(AND(AR48="ALTO",AS48="ALTO",AT48="ALTO"),"ALTO",IF(COUNTIF(AR48:AT48,"ALTO")=2,"ALTO","MEDIO")))," ")</f>
        <v>MEDIO</v>
      </c>
      <c r="AV48" s="80" t="str">
        <f>_xlfn.IFNA(VLOOKUP(AD48,[7]Tipologías!$B$3:$G$17,4,0),"")</f>
        <v>INFORMACIÓN PÚBLICA</v>
      </c>
      <c r="AW48" s="80" t="str">
        <f>IF(AV48="INFORMACIÓN PÚBLICA","IPB",IF(AV48="INFORMACIÓN PÚBLICA CLASIFICADA","IPC",IF(AV48="INFORMACIÓN PÚBLICA RESERVADA","IPR",IF(AV48="",""))))</f>
        <v>IPB</v>
      </c>
      <c r="AX48" s="80" t="str">
        <f>_xlfn.IFNA(VLOOKUP(AD48,[7]Tipologías!$B$3:$G$17,3,0),"")</f>
        <v>LEY 1712 DE 2014 LEY DE TRANSPARENCIA Y DERECHO DE ACCESO A LA INFORMACIÓN. ARTÍCULO 6 DEFINICIONES LITERAL B.</v>
      </c>
      <c r="AY48" s="80" t="str">
        <f>_xlfn.IFNA(VLOOKUP(AD48,[7]Tipologías!$B$3:$G$17,5,0),"")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48" s="80" t="str">
        <f>_xlfn.IFNA(VLOOKUP(AD48,[7]Tipologías!$B$3:$G$17,6,0),"")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48" s="148" t="s">
        <v>197</v>
      </c>
      <c r="BB48" s="166">
        <v>45105</v>
      </c>
      <c r="BC48" s="148" t="s">
        <v>224</v>
      </c>
      <c r="BD48" s="146" t="s">
        <v>490</v>
      </c>
      <c r="BE48" s="146" t="s">
        <v>491</v>
      </c>
      <c r="BF48" s="45"/>
      <c r="BG48" s="45"/>
      <c r="BH48" s="45"/>
      <c r="BI48" s="45"/>
      <c r="BJ48" s="45"/>
      <c r="BK48" s="45"/>
      <c r="BL48" s="45"/>
      <c r="BM48" s="45"/>
      <c r="BN48" s="45"/>
      <c r="BO48" s="45"/>
      <c r="BP48" s="45"/>
      <c r="BQ48" s="45"/>
      <c r="BR48" s="45"/>
      <c r="BS48" s="45"/>
      <c r="BT48" s="45"/>
      <c r="BU48" s="45"/>
      <c r="BV48" s="45"/>
      <c r="BW48" s="45"/>
      <c r="BX48" s="45"/>
    </row>
    <row r="49" spans="1:76" s="67" customFormat="1" ht="207.75" customHeight="1" x14ac:dyDescent="0.2">
      <c r="A49" s="76">
        <v>40</v>
      </c>
      <c r="B49" s="74" t="s">
        <v>62</v>
      </c>
      <c r="C49" s="74" t="s">
        <v>312</v>
      </c>
      <c r="D49" s="100" t="s">
        <v>269</v>
      </c>
      <c r="E49" s="100" t="s">
        <v>493</v>
      </c>
      <c r="F49" s="75" t="s">
        <v>494</v>
      </c>
      <c r="G49" s="74" t="s">
        <v>205</v>
      </c>
      <c r="H49" s="75" t="s">
        <v>495</v>
      </c>
      <c r="I49" s="75" t="s">
        <v>496</v>
      </c>
      <c r="J49" s="107" t="s">
        <v>319</v>
      </c>
      <c r="K49" s="100" t="s">
        <v>320</v>
      </c>
      <c r="L49" s="75" t="s">
        <v>321</v>
      </c>
      <c r="M49" s="75" t="s">
        <v>497</v>
      </c>
      <c r="N49" s="75" t="s">
        <v>498</v>
      </c>
      <c r="O49" s="116" t="s">
        <v>151</v>
      </c>
      <c r="P49" s="100" t="s">
        <v>499</v>
      </c>
      <c r="Q49" s="76" t="s">
        <v>325</v>
      </c>
      <c r="R49" s="76" t="s">
        <v>325</v>
      </c>
      <c r="S49" s="100" t="s">
        <v>500</v>
      </c>
      <c r="T49" s="100" t="s">
        <v>501</v>
      </c>
      <c r="U49" s="77" t="s">
        <v>328</v>
      </c>
      <c r="V49" s="77" t="s">
        <v>328</v>
      </c>
      <c r="W49" s="77" t="s">
        <v>328</v>
      </c>
      <c r="X49" s="77" t="s">
        <v>328</v>
      </c>
      <c r="Y49" s="77" t="s">
        <v>328</v>
      </c>
      <c r="Z49" s="77" t="s">
        <v>329</v>
      </c>
      <c r="AA49" s="77" t="s">
        <v>195</v>
      </c>
      <c r="AB49" s="77" t="s">
        <v>195</v>
      </c>
      <c r="AC49" s="138" t="s">
        <v>195</v>
      </c>
      <c r="AD49" s="142" t="s">
        <v>206</v>
      </c>
      <c r="AE49" s="142" t="s">
        <v>132</v>
      </c>
      <c r="AF49" s="136" t="str">
        <f t="shared" si="35"/>
        <v>ALTO</v>
      </c>
      <c r="AG49" s="77" t="s">
        <v>102</v>
      </c>
      <c r="AH49" s="136" t="str">
        <f t="shared" si="36"/>
        <v>MEDIO</v>
      </c>
      <c r="AI49" s="78" t="s">
        <v>111</v>
      </c>
      <c r="AJ49" s="77" t="s">
        <v>121</v>
      </c>
      <c r="AK49" s="136" t="str">
        <f t="shared" si="37"/>
        <v>BAJO</v>
      </c>
      <c r="AL49" s="80" t="str">
        <f>VLOOKUP($AD49,[7]Tipologías!$B$3:$G$17,2,FALSE)</f>
        <v>ALTO</v>
      </c>
      <c r="AM49" s="80">
        <f t="shared" si="2"/>
        <v>3</v>
      </c>
      <c r="AN49" s="80" t="str">
        <f>VLOOKUP($AE49,[7]Tipologías!$A$21:$C$24,3,FALSE)</f>
        <v>MEDIO</v>
      </c>
      <c r="AO49" s="80">
        <f t="shared" si="3"/>
        <v>2</v>
      </c>
      <c r="AP49" s="80">
        <f>VLOOKUP($AI49,[7]Tipologías!$A$38:$B$42,2,FALSE)</f>
        <v>0.5</v>
      </c>
      <c r="AQ49" s="80">
        <f>VLOOKUP($AJ49,[7]Tipologías!$A$46:$B$53,2,FALSE)</f>
        <v>1.25</v>
      </c>
      <c r="AR49" s="80" t="str">
        <f t="shared" ref="AR49:AR56" si="38">IF(MAX(AM49,AO49)=3,"ALTO",IF(MAX(AM49,AO49)=2,"MEDIO",IF(MAX(AM49,AO49)=1,"BAJO","  ")))</f>
        <v>ALTO</v>
      </c>
      <c r="AS49" s="80" t="str">
        <f>VLOOKUP($AG49,[7]Tipologías!$A$29:$C$33,3,FALSE)</f>
        <v>MEDIO</v>
      </c>
      <c r="AT49" s="80" t="str">
        <f t="shared" ref="AT49:AT56" si="39">IF(SUM($AP49,$AQ49)&gt;=3,"ALTO",IF(SUM($AP49,$AQ49)&lt;2,"BAJO","MEDIO"))</f>
        <v>BAJO</v>
      </c>
      <c r="AU49" s="80" t="str">
        <f t="shared" ref="AU49:AU51" si="40">_xlfn.IFNA(IF(AND(AR49="BAJO",AS49="BAJO",AT49="BAJO"),"BAJO",IF(AND(AR49="ALTO",AS49="ALTO",AT49="ALTO"),"ALTO",IF(COUNTIF(AR49:AT49,"ALTO")=2,"ALTO","MEDIO")))," ")</f>
        <v>MEDIO</v>
      </c>
      <c r="AV49" s="80" t="str">
        <f>_xlfn.IFNA(VLOOKUP(AD49,[7]Tipologías!$B$3:$G$17,4,0),"")</f>
        <v>INFORMACIÓN PÚBLICA CLASIFICADA</v>
      </c>
      <c r="AW49" s="80" t="str">
        <f t="shared" ref="AW49:AW56" si="41">IF(AV49="INFORMACIÓN PÚBLICA","IPB",IF(AV49="INFORMACIÓN PÚBLICA CLASIFICADA","IPC",IF(AV49="INFORMACIÓN PÚBLICA RESERVADA","IPR",IF(AV49="",""))))</f>
        <v>IPC</v>
      </c>
      <c r="AX49" s="80" t="str">
        <f>_xlfn.IFNA(VLOOKUP(AD49,[7]Tipologías!$B$3:$G$17,3,0),"")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9" s="80" t="str">
        <f>_xlfn.IFNA(VLOOKUP(AD49,[7]Tipologías!$B$3:$G$17,5,0),"")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9" s="80" t="str">
        <f>_xlfn.IFNA(VLOOKUP(AD49,[7]Tipologías!$B$3:$G$17,6,0),"")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9" s="148" t="s">
        <v>197</v>
      </c>
      <c r="BB49" s="166">
        <v>45105</v>
      </c>
      <c r="BC49" s="148" t="s">
        <v>224</v>
      </c>
      <c r="BD49" s="146" t="s">
        <v>490</v>
      </c>
      <c r="BE49" s="146" t="s">
        <v>491</v>
      </c>
      <c r="BF49" s="45"/>
      <c r="BG49" s="45"/>
      <c r="BH49" s="45"/>
      <c r="BI49" s="45"/>
      <c r="BJ49" s="45"/>
      <c r="BK49" s="45"/>
      <c r="BL49" s="45"/>
      <c r="BM49" s="45"/>
      <c r="BN49" s="45"/>
      <c r="BO49" s="45"/>
      <c r="BP49" s="45"/>
      <c r="BQ49" s="45"/>
      <c r="BR49" s="45"/>
      <c r="BS49" s="45"/>
      <c r="BT49" s="45"/>
      <c r="BU49" s="45"/>
      <c r="BV49" s="45"/>
      <c r="BW49" s="45"/>
      <c r="BX49" s="45"/>
    </row>
    <row r="50" spans="1:76" s="67" customFormat="1" ht="207.75" customHeight="1" x14ac:dyDescent="0.2">
      <c r="A50" s="76">
        <v>41</v>
      </c>
      <c r="B50" s="74" t="s">
        <v>62</v>
      </c>
      <c r="C50" s="74" t="s">
        <v>312</v>
      </c>
      <c r="D50" s="100" t="s">
        <v>269</v>
      </c>
      <c r="E50" s="100" t="s">
        <v>502</v>
      </c>
      <c r="F50" s="75" t="s">
        <v>503</v>
      </c>
      <c r="G50" s="74" t="s">
        <v>141</v>
      </c>
      <c r="H50" s="75" t="s">
        <v>487</v>
      </c>
      <c r="I50" s="75" t="s">
        <v>504</v>
      </c>
      <c r="J50" s="107" t="s">
        <v>336</v>
      </c>
      <c r="K50" s="100" t="s">
        <v>320</v>
      </c>
      <c r="L50" s="75" t="s">
        <v>321</v>
      </c>
      <c r="M50" s="116" t="s">
        <v>195</v>
      </c>
      <c r="N50" s="75" t="s">
        <v>505</v>
      </c>
      <c r="O50" s="116" t="s">
        <v>151</v>
      </c>
      <c r="P50" s="100" t="s">
        <v>506</v>
      </c>
      <c r="Q50" s="76" t="s">
        <v>325</v>
      </c>
      <c r="R50" s="76" t="s">
        <v>325</v>
      </c>
      <c r="S50" s="100" t="s">
        <v>195</v>
      </c>
      <c r="T50" s="100" t="s">
        <v>195</v>
      </c>
      <c r="U50" s="77" t="s">
        <v>328</v>
      </c>
      <c r="V50" s="77" t="s">
        <v>328</v>
      </c>
      <c r="W50" s="77" t="s">
        <v>328</v>
      </c>
      <c r="X50" s="77" t="s">
        <v>328</v>
      </c>
      <c r="Y50" s="77" t="s">
        <v>329</v>
      </c>
      <c r="Z50" s="77" t="s">
        <v>329</v>
      </c>
      <c r="AA50" s="77" t="s">
        <v>195</v>
      </c>
      <c r="AB50" s="77" t="s">
        <v>195</v>
      </c>
      <c r="AC50" s="138" t="s">
        <v>195</v>
      </c>
      <c r="AD50" s="142" t="s">
        <v>206</v>
      </c>
      <c r="AE50" s="142" t="s">
        <v>132</v>
      </c>
      <c r="AF50" s="136" t="str">
        <f t="shared" si="35"/>
        <v>ALTO</v>
      </c>
      <c r="AG50" s="77" t="s">
        <v>102</v>
      </c>
      <c r="AH50" s="136" t="str">
        <f t="shared" si="36"/>
        <v>MEDIO</v>
      </c>
      <c r="AI50" s="78" t="s">
        <v>111</v>
      </c>
      <c r="AJ50" s="77" t="s">
        <v>121</v>
      </c>
      <c r="AK50" s="136" t="str">
        <f t="shared" si="37"/>
        <v>BAJO</v>
      </c>
      <c r="AL50" s="80" t="str">
        <f>VLOOKUP($AD50,[7]Tipologías!$B$3:$G$17,2,FALSE)</f>
        <v>ALTO</v>
      </c>
      <c r="AM50" s="80">
        <f t="shared" si="2"/>
        <v>3</v>
      </c>
      <c r="AN50" s="80" t="str">
        <f>VLOOKUP($AE50,[7]Tipologías!$A$21:$C$24,3,FALSE)</f>
        <v>MEDIO</v>
      </c>
      <c r="AO50" s="80">
        <f t="shared" si="3"/>
        <v>2</v>
      </c>
      <c r="AP50" s="80">
        <f>VLOOKUP($AI50,[7]Tipologías!$A$38:$B$42,2,FALSE)</f>
        <v>0.5</v>
      </c>
      <c r="AQ50" s="80">
        <f>VLOOKUP($AJ50,[7]Tipologías!$A$46:$B$53,2,FALSE)</f>
        <v>1.25</v>
      </c>
      <c r="AR50" s="80" t="str">
        <f t="shared" si="38"/>
        <v>ALTO</v>
      </c>
      <c r="AS50" s="80" t="str">
        <f>VLOOKUP($AG50,[7]Tipologías!$A$29:$C$33,3,FALSE)</f>
        <v>MEDIO</v>
      </c>
      <c r="AT50" s="80" t="str">
        <f t="shared" si="39"/>
        <v>BAJO</v>
      </c>
      <c r="AU50" s="80" t="str">
        <f t="shared" si="40"/>
        <v>MEDIO</v>
      </c>
      <c r="AV50" s="80" t="str">
        <f>_xlfn.IFNA(VLOOKUP(AD50,[7]Tipologías!$B$3:$G$17,4,0),"")</f>
        <v>INFORMACIÓN PÚBLICA CLASIFICADA</v>
      </c>
      <c r="AW50" s="80" t="str">
        <f t="shared" si="41"/>
        <v>IPC</v>
      </c>
      <c r="AX50" s="80" t="str">
        <f>_xlfn.IFNA(VLOOKUP(AD50,[7]Tipologías!$B$3:$G$17,3,0),"")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0" s="80" t="str">
        <f>_xlfn.IFNA(VLOOKUP(AD50,[7]Tipologías!$B$3:$G$17,5,0),"")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0" s="80" t="str">
        <f>_xlfn.IFNA(VLOOKUP(AD50,[7]Tipologías!$B$3:$G$17,6,0),"")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0" s="148" t="s">
        <v>197</v>
      </c>
      <c r="BB50" s="166">
        <v>45105</v>
      </c>
      <c r="BC50" s="148" t="s">
        <v>224</v>
      </c>
      <c r="BD50" s="146" t="s">
        <v>490</v>
      </c>
      <c r="BE50" s="146" t="s">
        <v>491</v>
      </c>
      <c r="BF50" s="45"/>
      <c r="BG50" s="45"/>
      <c r="BH50" s="45"/>
      <c r="BI50" s="45"/>
      <c r="BJ50" s="45"/>
      <c r="BK50" s="45"/>
      <c r="BL50" s="45"/>
      <c r="BM50" s="45"/>
      <c r="BN50" s="45"/>
      <c r="BO50" s="45"/>
      <c r="BP50" s="45"/>
      <c r="BQ50" s="45"/>
      <c r="BR50" s="45"/>
      <c r="BS50" s="45"/>
      <c r="BT50" s="45"/>
      <c r="BU50" s="45"/>
      <c r="BV50" s="45"/>
      <c r="BW50" s="45"/>
      <c r="BX50" s="45"/>
    </row>
    <row r="51" spans="1:76" s="67" customFormat="1" ht="207.75" customHeight="1" x14ac:dyDescent="0.2">
      <c r="A51" s="76">
        <v>42</v>
      </c>
      <c r="B51" s="74" t="s">
        <v>62</v>
      </c>
      <c r="C51" s="74" t="s">
        <v>312</v>
      </c>
      <c r="D51" s="100" t="s">
        <v>269</v>
      </c>
      <c r="E51" s="100" t="s">
        <v>502</v>
      </c>
      <c r="F51" s="75" t="s">
        <v>507</v>
      </c>
      <c r="G51" s="74" t="s">
        <v>140</v>
      </c>
      <c r="H51" s="75" t="s">
        <v>487</v>
      </c>
      <c r="I51" s="75" t="s">
        <v>504</v>
      </c>
      <c r="J51" s="107" t="s">
        <v>336</v>
      </c>
      <c r="K51" s="100" t="s">
        <v>320</v>
      </c>
      <c r="L51" s="75" t="s">
        <v>321</v>
      </c>
      <c r="M51" s="116" t="s">
        <v>195</v>
      </c>
      <c r="N51" s="75" t="s">
        <v>505</v>
      </c>
      <c r="O51" s="116" t="s">
        <v>151</v>
      </c>
      <c r="P51" s="100" t="s">
        <v>506</v>
      </c>
      <c r="Q51" s="76" t="s">
        <v>325</v>
      </c>
      <c r="R51" s="76" t="s">
        <v>325</v>
      </c>
      <c r="S51" s="100" t="s">
        <v>195</v>
      </c>
      <c r="T51" s="100" t="s">
        <v>195</v>
      </c>
      <c r="U51" s="77" t="s">
        <v>328</v>
      </c>
      <c r="V51" s="77" t="s">
        <v>328</v>
      </c>
      <c r="W51" s="77" t="s">
        <v>328</v>
      </c>
      <c r="X51" s="77" t="s">
        <v>328</v>
      </c>
      <c r="Y51" s="77" t="s">
        <v>329</v>
      </c>
      <c r="Z51" s="77" t="s">
        <v>329</v>
      </c>
      <c r="AA51" s="77" t="s">
        <v>195</v>
      </c>
      <c r="AB51" s="77" t="s">
        <v>195</v>
      </c>
      <c r="AC51" s="138" t="s">
        <v>195</v>
      </c>
      <c r="AD51" s="142" t="s">
        <v>208</v>
      </c>
      <c r="AE51" s="142" t="s">
        <v>132</v>
      </c>
      <c r="AF51" s="136" t="str">
        <f t="shared" si="35"/>
        <v>ALTO</v>
      </c>
      <c r="AG51" s="77" t="s">
        <v>102</v>
      </c>
      <c r="AH51" s="136" t="str">
        <f t="shared" si="36"/>
        <v>MEDIO</v>
      </c>
      <c r="AI51" s="78" t="s">
        <v>111</v>
      </c>
      <c r="AJ51" s="77" t="s">
        <v>121</v>
      </c>
      <c r="AK51" s="136" t="str">
        <f t="shared" si="37"/>
        <v>BAJO</v>
      </c>
      <c r="AL51" s="80" t="str">
        <f>VLOOKUP($AD51,[7]Tipologías!$B$3:$G$17,2,FALSE)</f>
        <v>ALTO</v>
      </c>
      <c r="AM51" s="80">
        <f t="shared" si="2"/>
        <v>3</v>
      </c>
      <c r="AN51" s="80" t="str">
        <f>VLOOKUP($AE51,[7]Tipologías!$A$21:$C$24,3,FALSE)</f>
        <v>MEDIO</v>
      </c>
      <c r="AO51" s="80">
        <f t="shared" si="3"/>
        <v>2</v>
      </c>
      <c r="AP51" s="80">
        <f>VLOOKUP($AI51,[7]Tipologías!$A$38:$B$42,2,FALSE)</f>
        <v>0.5</v>
      </c>
      <c r="AQ51" s="80">
        <f>VLOOKUP($AJ51,[7]Tipologías!$A$46:$B$53,2,FALSE)</f>
        <v>1.25</v>
      </c>
      <c r="AR51" s="80" t="str">
        <f t="shared" si="38"/>
        <v>ALTO</v>
      </c>
      <c r="AS51" s="80" t="str">
        <f>VLOOKUP($AG51,[7]Tipologías!$A$29:$C$33,3,FALSE)</f>
        <v>MEDIO</v>
      </c>
      <c r="AT51" s="80" t="str">
        <f t="shared" si="39"/>
        <v>BAJO</v>
      </c>
      <c r="AU51" s="80" t="str">
        <f t="shared" si="40"/>
        <v>MEDIO</v>
      </c>
      <c r="AV51" s="80" t="str">
        <f>_xlfn.IFNA(VLOOKUP(AD51,[7]Tipologías!$B$3:$G$17,4,0),"")</f>
        <v>INFORMACIÓN PÚBLICA CLASIFICADA</v>
      </c>
      <c r="AW51" s="80" t="str">
        <f t="shared" si="41"/>
        <v>IPC</v>
      </c>
      <c r="AX51" s="80" t="str">
        <f>_xlfn.IFNA(VLOOKUP(AD51,[7]Tipologías!$B$3:$G$17,3,0),"")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1" s="80" t="str">
        <f>_xlfn.IFNA(VLOOKUP(AD51,[7]Tipologías!$B$3:$G$17,5,0),"")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1" s="80" t="str">
        <f>_xlfn.IFNA(VLOOKUP(AD51,[7]Tipologías!$B$3:$G$17,6,0),"")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1" s="148" t="s">
        <v>197</v>
      </c>
      <c r="BB51" s="166">
        <v>45105</v>
      </c>
      <c r="BC51" s="148" t="s">
        <v>224</v>
      </c>
      <c r="BD51" s="146" t="s">
        <v>490</v>
      </c>
      <c r="BE51" s="146" t="s">
        <v>491</v>
      </c>
      <c r="BF51" s="45"/>
      <c r="BG51" s="45"/>
      <c r="BH51" s="45"/>
      <c r="BI51" s="45"/>
      <c r="BJ51" s="45"/>
      <c r="BK51" s="45"/>
      <c r="BL51" s="45"/>
      <c r="BM51" s="45"/>
      <c r="BN51" s="45"/>
      <c r="BO51" s="45"/>
      <c r="BP51" s="45"/>
      <c r="BQ51" s="45"/>
      <c r="BR51" s="45"/>
      <c r="BS51" s="45"/>
      <c r="BT51" s="45"/>
      <c r="BU51" s="45"/>
      <c r="BV51" s="45"/>
      <c r="BW51" s="45"/>
      <c r="BX51" s="45"/>
    </row>
    <row r="52" spans="1:76" s="68" customFormat="1" ht="207.75" customHeight="1" x14ac:dyDescent="0.2">
      <c r="A52" s="76">
        <v>43</v>
      </c>
      <c r="B52" s="117" t="s">
        <v>62</v>
      </c>
      <c r="C52" s="117" t="s">
        <v>311</v>
      </c>
      <c r="D52" s="120" t="s">
        <v>278</v>
      </c>
      <c r="E52" s="219" t="s">
        <v>508</v>
      </c>
      <c r="F52" s="118" t="s">
        <v>509</v>
      </c>
      <c r="G52" s="117" t="s">
        <v>140</v>
      </c>
      <c r="H52" s="118" t="s">
        <v>510</v>
      </c>
      <c r="I52" s="126" t="s">
        <v>511</v>
      </c>
      <c r="J52" s="151" t="s">
        <v>336</v>
      </c>
      <c r="K52" s="120" t="s">
        <v>320</v>
      </c>
      <c r="L52" s="118" t="s">
        <v>321</v>
      </c>
      <c r="M52" s="125" t="s">
        <v>195</v>
      </c>
      <c r="N52" s="118" t="s">
        <v>512</v>
      </c>
      <c r="O52" s="125" t="s">
        <v>144</v>
      </c>
      <c r="P52" s="120" t="s">
        <v>513</v>
      </c>
      <c r="Q52" s="119" t="s">
        <v>325</v>
      </c>
      <c r="R52" s="119" t="s">
        <v>195</v>
      </c>
      <c r="S52" s="120" t="s">
        <v>195</v>
      </c>
      <c r="T52" s="120" t="s">
        <v>195</v>
      </c>
      <c r="U52" s="121" t="s">
        <v>328</v>
      </c>
      <c r="V52" s="121" t="s">
        <v>328</v>
      </c>
      <c r="W52" s="121" t="s">
        <v>329</v>
      </c>
      <c r="X52" s="121" t="s">
        <v>329</v>
      </c>
      <c r="Y52" s="121" t="s">
        <v>329</v>
      </c>
      <c r="Z52" s="121" t="s">
        <v>329</v>
      </c>
      <c r="AA52" s="121" t="s">
        <v>195</v>
      </c>
      <c r="AB52" s="124" t="s">
        <v>195</v>
      </c>
      <c r="AC52" s="159" t="s">
        <v>195</v>
      </c>
      <c r="AD52" s="163" t="s">
        <v>206</v>
      </c>
      <c r="AE52" s="163" t="s">
        <v>132</v>
      </c>
      <c r="AF52" s="121" t="str">
        <f t="shared" si="35"/>
        <v>ALTO</v>
      </c>
      <c r="AG52" s="121" t="s">
        <v>100</v>
      </c>
      <c r="AH52" s="127" t="str">
        <f t="shared" si="36"/>
        <v>BAJO</v>
      </c>
      <c r="AI52" s="123" t="s">
        <v>111</v>
      </c>
      <c r="AJ52" s="121" t="s">
        <v>118</v>
      </c>
      <c r="AK52" s="127" t="str">
        <f t="shared" si="37"/>
        <v>MEDIO</v>
      </c>
      <c r="AL52" s="124" t="str">
        <f>VLOOKUP($AD52,[8]Tipologías!$B$3:$G$17,2,FALSE)</f>
        <v>ALTO</v>
      </c>
      <c r="AM52" s="124">
        <f t="shared" si="2"/>
        <v>3</v>
      </c>
      <c r="AN52" s="124" t="str">
        <f>VLOOKUP($AE52,[8]Tipologías!$A$21:$C$24,3,FALSE)</f>
        <v>MEDIO</v>
      </c>
      <c r="AO52" s="124">
        <f t="shared" si="3"/>
        <v>2</v>
      </c>
      <c r="AP52" s="124">
        <f>VLOOKUP($AI52,[8]Tipologías!$A$38:$B$42,2,FALSE)</f>
        <v>0.5</v>
      </c>
      <c r="AQ52" s="124">
        <f>VLOOKUP($AJ52,[8]Tipologías!$A$46:$B$53,2,FALSE)</f>
        <v>2.25</v>
      </c>
      <c r="AR52" s="124" t="str">
        <f t="shared" si="38"/>
        <v>ALTO</v>
      </c>
      <c r="AS52" s="124" t="str">
        <f>VLOOKUP($AG52,[8]Tipologías!$A$29:$C$33,3,FALSE)</f>
        <v>BAJO</v>
      </c>
      <c r="AT52" s="124" t="str">
        <f t="shared" si="39"/>
        <v>MEDIO</v>
      </c>
      <c r="AU52" s="80" t="str">
        <f>_xlfn.IFNA(IF(AND(AR52="BAJO",AS52="BAJO",AT52="BAJO"),"BAJO",IF(AND(AR52="ALTO",AS52="ALTO",AT52="ALTO"),"ALTO",IF(COUNTIF(AR52:AT52,"ALTO")=2,"ALTO","MEDIO")))," ")</f>
        <v>MEDIO</v>
      </c>
      <c r="AV52" s="80" t="str">
        <f>_xlfn.IFNA(VLOOKUP(AD52,[9]Tipologías!$B$3:$G$17,4,0),"")</f>
        <v>INFORMACIÓN PÚBLICA CLASIFICADA</v>
      </c>
      <c r="AW52" s="124" t="str">
        <f t="shared" si="41"/>
        <v>IPC</v>
      </c>
      <c r="AX52" s="80" t="str">
        <f>_xlfn.IFNA(VLOOKUP(AD52,[9]Tipologías!$B$3:$G$17,3,0),"")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2" s="80" t="str">
        <f>_xlfn.IFNA(VLOOKUP(AD52,[9]Tipologías!$B$3:$G$17,5,0),"")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2" s="80" t="str">
        <f>_xlfn.IFNA(VLOOKUP(AD52,[9]Tipologías!$B$3:$G$17,6,0),"")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2" s="168" t="s">
        <v>197</v>
      </c>
      <c r="BB52" s="169">
        <v>45105</v>
      </c>
      <c r="BC52" s="168" t="s">
        <v>221</v>
      </c>
      <c r="BD52" s="170" t="s">
        <v>514</v>
      </c>
      <c r="BE52" s="170" t="s">
        <v>515</v>
      </c>
      <c r="BF52" s="45"/>
      <c r="BG52" s="45"/>
      <c r="BH52" s="45"/>
      <c r="BI52" s="45"/>
      <c r="BJ52" s="45"/>
      <c r="BK52" s="45"/>
      <c r="BL52" s="45"/>
      <c r="BM52" s="45"/>
      <c r="BN52" s="45"/>
      <c r="BO52" s="45"/>
      <c r="BP52" s="45"/>
      <c r="BQ52" s="45"/>
      <c r="BR52" s="45"/>
      <c r="BS52" s="45"/>
      <c r="BT52" s="45"/>
      <c r="BU52" s="45"/>
      <c r="BV52" s="45"/>
      <c r="BW52" s="45"/>
      <c r="BX52" s="45"/>
    </row>
    <row r="53" spans="1:76" s="67" customFormat="1" ht="207.75" customHeight="1" x14ac:dyDescent="0.2">
      <c r="A53" s="76">
        <v>44</v>
      </c>
      <c r="B53" s="117" t="s">
        <v>62</v>
      </c>
      <c r="C53" s="117" t="s">
        <v>311</v>
      </c>
      <c r="D53" s="120" t="s">
        <v>278</v>
      </c>
      <c r="E53" s="220" t="s">
        <v>516</v>
      </c>
      <c r="F53" s="118" t="s">
        <v>517</v>
      </c>
      <c r="G53" s="117" t="s">
        <v>140</v>
      </c>
      <c r="H53" s="118" t="s">
        <v>510</v>
      </c>
      <c r="I53" s="118" t="s">
        <v>510</v>
      </c>
      <c r="J53" s="151" t="s">
        <v>336</v>
      </c>
      <c r="K53" s="120" t="s">
        <v>320</v>
      </c>
      <c r="L53" s="118" t="s">
        <v>321</v>
      </c>
      <c r="M53" s="125" t="s">
        <v>195</v>
      </c>
      <c r="N53" s="128" t="s">
        <v>518</v>
      </c>
      <c r="O53" s="125" t="s">
        <v>151</v>
      </c>
      <c r="P53" s="120" t="s">
        <v>519</v>
      </c>
      <c r="Q53" s="119" t="s">
        <v>325</v>
      </c>
      <c r="R53" s="119" t="s">
        <v>195</v>
      </c>
      <c r="S53" s="119" t="s">
        <v>195</v>
      </c>
      <c r="T53" s="119" t="s">
        <v>195</v>
      </c>
      <c r="U53" s="121" t="s">
        <v>328</v>
      </c>
      <c r="V53" s="121" t="s">
        <v>328</v>
      </c>
      <c r="W53" s="121" t="s">
        <v>329</v>
      </c>
      <c r="X53" s="121" t="s">
        <v>329</v>
      </c>
      <c r="Y53" s="121" t="s">
        <v>329</v>
      </c>
      <c r="Z53" s="121" t="s">
        <v>329</v>
      </c>
      <c r="AA53" s="121" t="s">
        <v>195</v>
      </c>
      <c r="AB53" s="124" t="s">
        <v>195</v>
      </c>
      <c r="AC53" s="159" t="s">
        <v>195</v>
      </c>
      <c r="AD53" s="163" t="s">
        <v>206</v>
      </c>
      <c r="AE53" s="163" t="s">
        <v>132</v>
      </c>
      <c r="AF53" s="121" t="str">
        <f t="shared" si="35"/>
        <v>ALTO</v>
      </c>
      <c r="AG53" s="124" t="s">
        <v>102</v>
      </c>
      <c r="AH53" s="127" t="str">
        <f>_xlfn.IFNA((AS52),"")</f>
        <v>BAJO</v>
      </c>
      <c r="AI53" s="129" t="s">
        <v>109</v>
      </c>
      <c r="AJ53" s="124" t="s">
        <v>120</v>
      </c>
      <c r="AK53" s="127" t="str">
        <f t="shared" ref="AK53:AK64" si="42">_xlfn.IFNA((AT53),"")</f>
        <v>BAJO</v>
      </c>
      <c r="AL53" s="124" t="str">
        <f>VLOOKUP($AD53,[8]Tipologías!$B$3:$G$17,2,FALSE)</f>
        <v>ALTO</v>
      </c>
      <c r="AM53" s="124">
        <f t="shared" si="2"/>
        <v>3</v>
      </c>
      <c r="AN53" s="124" t="str">
        <f>VLOOKUP($AE53,[8]Tipologías!$A$21:$C$24,3,FALSE)</f>
        <v>MEDIO</v>
      </c>
      <c r="AO53" s="124">
        <f t="shared" si="3"/>
        <v>2</v>
      </c>
      <c r="AP53" s="124">
        <f>VLOOKUP($AI53,[8]Tipologías!$A$38:$B$42,2,FALSE)</f>
        <v>0</v>
      </c>
      <c r="AQ53" s="124">
        <f>VLOOKUP($AJ53,[8]Tipologías!$A$46:$B$53,2,FALSE)</f>
        <v>1.5</v>
      </c>
      <c r="AR53" s="124" t="str">
        <f t="shared" si="38"/>
        <v>ALTO</v>
      </c>
      <c r="AS53" s="124" t="str">
        <f>VLOOKUP($AG53,[8]Tipologías!$A$29:$C$33,3,FALSE)</f>
        <v>MEDIO</v>
      </c>
      <c r="AT53" s="124" t="str">
        <f t="shared" si="39"/>
        <v>BAJO</v>
      </c>
      <c r="AU53" s="80" t="str">
        <f t="shared" ref="AU53:AU56" si="43">_xlfn.IFNA(IF(AND(AR53="BAJO",AS53="BAJO",AT53="BAJO"),"BAJO",IF(AND(AR53="ALTO",AS53="ALTO",AT53="ALTO"),"ALTO",IF(COUNTIF(AR53:AT53,"ALTO")=2,"ALTO","MEDIO")))," ")</f>
        <v>MEDIO</v>
      </c>
      <c r="AV53" s="80" t="str">
        <f>_xlfn.IFNA(VLOOKUP(AD53,[9]Tipologías!$B$3:$G$17,4,0),"")</f>
        <v>INFORMACIÓN PÚBLICA CLASIFICADA</v>
      </c>
      <c r="AW53" s="124" t="str">
        <f t="shared" si="41"/>
        <v>IPC</v>
      </c>
      <c r="AX53" s="80" t="str">
        <f>_xlfn.IFNA(VLOOKUP(AD53,[9]Tipologías!$B$3:$G$17,3,0),"")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3" s="80" t="str">
        <f>_xlfn.IFNA(VLOOKUP(AD53,[9]Tipologías!$B$3:$G$17,5,0),"")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3" s="80" t="str">
        <f>_xlfn.IFNA(VLOOKUP(AD53,[9]Tipologías!$B$3:$G$17,6,0),"")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3" s="168" t="s">
        <v>197</v>
      </c>
      <c r="BB53" s="169">
        <v>45105</v>
      </c>
      <c r="BC53" s="168" t="s">
        <v>195</v>
      </c>
      <c r="BD53" s="170" t="s">
        <v>520</v>
      </c>
      <c r="BE53" s="170" t="s">
        <v>515</v>
      </c>
      <c r="BF53" s="45"/>
      <c r="BG53" s="45"/>
      <c r="BH53" s="45"/>
      <c r="BI53" s="45"/>
      <c r="BJ53" s="45"/>
      <c r="BK53" s="45"/>
      <c r="BL53" s="45"/>
      <c r="BM53" s="45"/>
      <c r="BN53" s="45"/>
      <c r="BO53" s="45"/>
      <c r="BP53" s="45"/>
      <c r="BQ53" s="45"/>
      <c r="BR53" s="45"/>
      <c r="BS53" s="45"/>
      <c r="BT53" s="45"/>
      <c r="BU53" s="45"/>
      <c r="BV53" s="45"/>
      <c r="BW53" s="45"/>
      <c r="BX53" s="45"/>
    </row>
    <row r="54" spans="1:76" s="68" customFormat="1" ht="207.75" customHeight="1" x14ac:dyDescent="0.2">
      <c r="A54" s="76">
        <v>45</v>
      </c>
      <c r="B54" s="117" t="s">
        <v>62</v>
      </c>
      <c r="C54" s="117" t="s">
        <v>311</v>
      </c>
      <c r="D54" s="120" t="s">
        <v>278</v>
      </c>
      <c r="E54" s="120" t="s">
        <v>521</v>
      </c>
      <c r="F54" s="129" t="s">
        <v>522</v>
      </c>
      <c r="G54" s="117" t="s">
        <v>140</v>
      </c>
      <c r="H54" s="118" t="s">
        <v>523</v>
      </c>
      <c r="I54" s="118" t="s">
        <v>524</v>
      </c>
      <c r="J54" s="151" t="s">
        <v>319</v>
      </c>
      <c r="K54" s="120" t="s">
        <v>320</v>
      </c>
      <c r="L54" s="118" t="s">
        <v>321</v>
      </c>
      <c r="M54" s="118" t="s">
        <v>525</v>
      </c>
      <c r="N54" s="128" t="s">
        <v>526</v>
      </c>
      <c r="O54" s="125" t="s">
        <v>144</v>
      </c>
      <c r="P54" s="120" t="s">
        <v>513</v>
      </c>
      <c r="Q54" s="119" t="s">
        <v>325</v>
      </c>
      <c r="R54" s="130" t="s">
        <v>195</v>
      </c>
      <c r="S54" s="119" t="s">
        <v>195</v>
      </c>
      <c r="T54" s="119" t="s">
        <v>195</v>
      </c>
      <c r="U54" s="121" t="s">
        <v>328</v>
      </c>
      <c r="V54" s="121" t="s">
        <v>328</v>
      </c>
      <c r="W54" s="121" t="s">
        <v>329</v>
      </c>
      <c r="X54" s="121" t="s">
        <v>329</v>
      </c>
      <c r="Y54" s="121" t="s">
        <v>329</v>
      </c>
      <c r="Z54" s="121" t="s">
        <v>329</v>
      </c>
      <c r="AA54" s="121" t="s">
        <v>195</v>
      </c>
      <c r="AB54" s="124" t="s">
        <v>195</v>
      </c>
      <c r="AC54" s="159" t="s">
        <v>195</v>
      </c>
      <c r="AD54" s="164" t="s">
        <v>89</v>
      </c>
      <c r="AE54" s="163" t="s">
        <v>132</v>
      </c>
      <c r="AF54" s="121" t="str">
        <f t="shared" ref="AF54:AF55" si="44">AR54</f>
        <v>MEDIO</v>
      </c>
      <c r="AG54" s="121" t="s">
        <v>102</v>
      </c>
      <c r="AH54" s="127" t="str">
        <f>_xlfn.IFNA((AS52),"")</f>
        <v>BAJO</v>
      </c>
      <c r="AI54" s="123" t="s">
        <v>111</v>
      </c>
      <c r="AJ54" s="124" t="s">
        <v>121</v>
      </c>
      <c r="AK54" s="127" t="str">
        <f t="shared" si="42"/>
        <v>BAJO</v>
      </c>
      <c r="AL54" s="124" t="str">
        <f>VLOOKUP($AD54,[8]Tipologías!$B$3:$G$17,2,FALSE)</f>
        <v>BAJO</v>
      </c>
      <c r="AM54" s="124">
        <f t="shared" si="2"/>
        <v>1</v>
      </c>
      <c r="AN54" s="124" t="str">
        <f>VLOOKUP($AE54,[8]Tipologías!$A$21:$C$24,3,FALSE)</f>
        <v>MEDIO</v>
      </c>
      <c r="AO54" s="124">
        <f t="shared" si="3"/>
        <v>2</v>
      </c>
      <c r="AP54" s="124">
        <f>VLOOKUP($AI54,[8]Tipologías!$A$38:$B$42,2,FALSE)</f>
        <v>0.5</v>
      </c>
      <c r="AQ54" s="124">
        <f>VLOOKUP($AJ54,[8]Tipologías!$A$46:$B$53,2,FALSE)</f>
        <v>1.25</v>
      </c>
      <c r="AR54" s="124" t="str">
        <f t="shared" si="38"/>
        <v>MEDIO</v>
      </c>
      <c r="AS54" s="124" t="str">
        <f>VLOOKUP($AG54,[8]Tipologías!$A$29:$C$33,3,FALSE)</f>
        <v>MEDIO</v>
      </c>
      <c r="AT54" s="124" t="str">
        <f t="shared" si="39"/>
        <v>BAJO</v>
      </c>
      <c r="AU54" s="80" t="str">
        <f t="shared" si="43"/>
        <v>MEDIO</v>
      </c>
      <c r="AV54" s="80" t="str">
        <f>_xlfn.IFNA(VLOOKUP(AD54,[9]Tipologías!$B$3:$G$17,4,0),"")</f>
        <v>INFORMACIÓN PÚBLICA</v>
      </c>
      <c r="AW54" s="124" t="str">
        <f t="shared" si="41"/>
        <v>IPB</v>
      </c>
      <c r="AX54" s="80" t="str">
        <f>_xlfn.IFNA(VLOOKUP(AD54,[9]Tipologías!$B$3:$G$17,3,0),"")</f>
        <v>LEY 1712 DE 2014 LEY DE TRANSPARENCIA Y DERECHO DE ACCESO A LA INFORMACIÓN. ARTÍCULO 6 DEFINICIONES LITERAL B.</v>
      </c>
      <c r="AY54" s="80" t="str">
        <f>_xlfn.IFNA(VLOOKUP(AD54,[9]Tipologías!$B$3:$G$17,5,0),"")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54" s="80" t="str">
        <f>_xlfn.IFNA(VLOOKUP(AD54,[9]Tipologías!$B$3:$G$17,6,0),"")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54" s="168" t="s">
        <v>197</v>
      </c>
      <c r="BB54" s="169">
        <v>45105</v>
      </c>
      <c r="BC54" s="168" t="s">
        <v>221</v>
      </c>
      <c r="BD54" s="170" t="s">
        <v>527</v>
      </c>
      <c r="BE54" s="170" t="s">
        <v>515</v>
      </c>
      <c r="BF54" s="45"/>
      <c r="BG54" s="45"/>
      <c r="BH54" s="45"/>
      <c r="BI54" s="45"/>
      <c r="BJ54" s="45"/>
      <c r="BK54" s="45"/>
      <c r="BL54" s="45"/>
      <c r="BM54" s="45"/>
      <c r="BN54" s="45"/>
      <c r="BO54" s="45"/>
      <c r="BP54" s="45"/>
      <c r="BQ54" s="45"/>
      <c r="BR54" s="45"/>
      <c r="BS54" s="45"/>
      <c r="BT54" s="45"/>
      <c r="BU54" s="45"/>
      <c r="BV54" s="45"/>
      <c r="BW54" s="45"/>
      <c r="BX54" s="45"/>
    </row>
    <row r="55" spans="1:76" s="67" customFormat="1" ht="207.75" customHeight="1" x14ac:dyDescent="0.2">
      <c r="A55" s="76">
        <v>46</v>
      </c>
      <c r="B55" s="117" t="s">
        <v>62</v>
      </c>
      <c r="C55" s="117" t="s">
        <v>311</v>
      </c>
      <c r="D55" s="120" t="s">
        <v>278</v>
      </c>
      <c r="E55" s="120" t="s">
        <v>528</v>
      </c>
      <c r="F55" s="118" t="s">
        <v>529</v>
      </c>
      <c r="G55" s="117" t="s">
        <v>205</v>
      </c>
      <c r="H55" s="118" t="s">
        <v>530</v>
      </c>
      <c r="I55" s="118" t="s">
        <v>524</v>
      </c>
      <c r="J55" s="151" t="s">
        <v>319</v>
      </c>
      <c r="K55" s="120" t="s">
        <v>320</v>
      </c>
      <c r="L55" s="118" t="s">
        <v>321</v>
      </c>
      <c r="M55" s="118" t="s">
        <v>530</v>
      </c>
      <c r="N55" s="118" t="s">
        <v>531</v>
      </c>
      <c r="O55" s="125" t="s">
        <v>144</v>
      </c>
      <c r="P55" s="120" t="s">
        <v>513</v>
      </c>
      <c r="Q55" s="119" t="s">
        <v>325</v>
      </c>
      <c r="R55" s="119" t="s">
        <v>195</v>
      </c>
      <c r="S55" s="120" t="s">
        <v>532</v>
      </c>
      <c r="T55" s="120" t="s">
        <v>533</v>
      </c>
      <c r="U55" s="121" t="s">
        <v>328</v>
      </c>
      <c r="V55" s="121" t="s">
        <v>329</v>
      </c>
      <c r="W55" s="121" t="s">
        <v>328</v>
      </c>
      <c r="X55" s="121" t="s">
        <v>195</v>
      </c>
      <c r="Y55" s="121" t="s">
        <v>195</v>
      </c>
      <c r="Z55" s="121" t="s">
        <v>195</v>
      </c>
      <c r="AA55" s="121" t="s">
        <v>195</v>
      </c>
      <c r="AB55" s="121" t="s">
        <v>195</v>
      </c>
      <c r="AC55" s="158" t="s">
        <v>195</v>
      </c>
      <c r="AD55" s="163" t="s">
        <v>206</v>
      </c>
      <c r="AE55" s="163" t="s">
        <v>132</v>
      </c>
      <c r="AF55" s="121" t="str">
        <f t="shared" si="44"/>
        <v>ALTO</v>
      </c>
      <c r="AG55" s="121" t="s">
        <v>104</v>
      </c>
      <c r="AH55" s="127" t="str">
        <f>_xlfn.IFNA((AS52),"")</f>
        <v>BAJO</v>
      </c>
      <c r="AI55" s="123" t="s">
        <v>111</v>
      </c>
      <c r="AJ55" s="121" t="s">
        <v>119</v>
      </c>
      <c r="AK55" s="127" t="str">
        <f t="shared" si="42"/>
        <v>MEDIO</v>
      </c>
      <c r="AL55" s="124" t="str">
        <f>VLOOKUP($AD55,[8]Tipologías!$B$3:$G$17,2,FALSE)</f>
        <v>ALTO</v>
      </c>
      <c r="AM55" s="124">
        <f t="shared" si="2"/>
        <v>3</v>
      </c>
      <c r="AN55" s="124" t="str">
        <f>VLOOKUP($AE55,[8]Tipologías!$A$21:$C$24,3,FALSE)</f>
        <v>MEDIO</v>
      </c>
      <c r="AO55" s="124">
        <f t="shared" si="3"/>
        <v>2</v>
      </c>
      <c r="AP55" s="124">
        <f>VLOOKUP($AI55,[8]Tipologías!$A$38:$B$42,2,FALSE)</f>
        <v>0.5</v>
      </c>
      <c r="AQ55" s="124">
        <f>VLOOKUP($AJ55,[8]Tipologías!$A$46:$B$53,2,FALSE)</f>
        <v>2</v>
      </c>
      <c r="AR55" s="124" t="str">
        <f t="shared" si="38"/>
        <v>ALTO</v>
      </c>
      <c r="AS55" s="124" t="str">
        <f>VLOOKUP($AG55,[8]Tipologías!$A$29:$C$33,3,FALSE)</f>
        <v>ALTO</v>
      </c>
      <c r="AT55" s="124" t="str">
        <f t="shared" si="39"/>
        <v>MEDIO</v>
      </c>
      <c r="AU55" s="80" t="str">
        <f t="shared" si="43"/>
        <v>ALTO</v>
      </c>
      <c r="AV55" s="80" t="str">
        <f>_xlfn.IFNA(VLOOKUP(AD55,[9]Tipologías!$B$3:$G$17,4,0),"")</f>
        <v>INFORMACIÓN PÚBLICA CLASIFICADA</v>
      </c>
      <c r="AW55" s="124" t="str">
        <f t="shared" si="41"/>
        <v>IPC</v>
      </c>
      <c r="AX55" s="80" t="str">
        <f>_xlfn.IFNA(VLOOKUP(AD55,[9]Tipologías!$B$3:$G$17,3,0),"")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5" s="80" t="str">
        <f>_xlfn.IFNA(VLOOKUP(AD55,[9]Tipologías!$B$3:$G$17,5,0),"")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5" s="80" t="str">
        <f>_xlfn.IFNA(VLOOKUP(AD55,[9]Tipologías!$B$3:$G$17,6,0),"")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5" s="168" t="s">
        <v>197</v>
      </c>
      <c r="BB55" s="169">
        <v>45105</v>
      </c>
      <c r="BC55" s="168" t="s">
        <v>201</v>
      </c>
      <c r="BD55" s="170" t="s">
        <v>534</v>
      </c>
      <c r="BE55" s="170" t="s">
        <v>515</v>
      </c>
      <c r="BF55" s="45"/>
      <c r="BG55" s="45"/>
      <c r="BH55" s="45"/>
      <c r="BI55" s="45"/>
      <c r="BJ55" s="45"/>
      <c r="BK55" s="45"/>
      <c r="BL55" s="45"/>
      <c r="BM55" s="45"/>
      <c r="BN55" s="45"/>
      <c r="BO55" s="45"/>
      <c r="BP55" s="45"/>
      <c r="BQ55" s="45"/>
      <c r="BR55" s="45"/>
      <c r="BS55" s="45"/>
      <c r="BT55" s="45"/>
      <c r="BU55" s="45"/>
      <c r="BV55" s="45"/>
      <c r="BW55" s="45"/>
      <c r="BX55" s="45"/>
    </row>
    <row r="56" spans="1:76" s="67" customFormat="1" ht="207.75" customHeight="1" x14ac:dyDescent="0.2">
      <c r="A56" s="76">
        <v>47</v>
      </c>
      <c r="B56" s="117" t="s">
        <v>62</v>
      </c>
      <c r="C56" s="117" t="s">
        <v>311</v>
      </c>
      <c r="D56" s="120" t="s">
        <v>278</v>
      </c>
      <c r="E56" s="120" t="s">
        <v>535</v>
      </c>
      <c r="F56" s="131" t="s">
        <v>536</v>
      </c>
      <c r="G56" s="117" t="s">
        <v>205</v>
      </c>
      <c r="H56" s="131" t="s">
        <v>530</v>
      </c>
      <c r="I56" s="131" t="s">
        <v>524</v>
      </c>
      <c r="J56" s="151" t="s">
        <v>319</v>
      </c>
      <c r="K56" s="120" t="s">
        <v>320</v>
      </c>
      <c r="L56" s="118" t="s">
        <v>321</v>
      </c>
      <c r="M56" s="118" t="s">
        <v>530</v>
      </c>
      <c r="N56" s="118" t="s">
        <v>537</v>
      </c>
      <c r="O56" s="125" t="s">
        <v>146</v>
      </c>
      <c r="P56" s="120" t="s">
        <v>513</v>
      </c>
      <c r="Q56" s="119" t="s">
        <v>325</v>
      </c>
      <c r="R56" s="119" t="s">
        <v>195</v>
      </c>
      <c r="S56" s="120" t="s">
        <v>538</v>
      </c>
      <c r="T56" s="120" t="s">
        <v>535</v>
      </c>
      <c r="U56" s="121" t="s">
        <v>328</v>
      </c>
      <c r="V56" s="121" t="s">
        <v>329</v>
      </c>
      <c r="W56" s="121" t="s">
        <v>328</v>
      </c>
      <c r="X56" s="121" t="s">
        <v>195</v>
      </c>
      <c r="Y56" s="121" t="s">
        <v>195</v>
      </c>
      <c r="Z56" s="121" t="s">
        <v>195</v>
      </c>
      <c r="AA56" s="121" t="s">
        <v>195</v>
      </c>
      <c r="AB56" s="121" t="s">
        <v>195</v>
      </c>
      <c r="AC56" s="158" t="s">
        <v>195</v>
      </c>
      <c r="AD56" s="163" t="s">
        <v>206</v>
      </c>
      <c r="AE56" s="163" t="s">
        <v>132</v>
      </c>
      <c r="AF56" s="121" t="s">
        <v>539</v>
      </c>
      <c r="AG56" s="121" t="s">
        <v>102</v>
      </c>
      <c r="AH56" s="127" t="str">
        <f>_xlfn.IFNA((AS52),"")</f>
        <v>BAJO</v>
      </c>
      <c r="AI56" s="123" t="s">
        <v>109</v>
      </c>
      <c r="AJ56" s="121" t="s">
        <v>121</v>
      </c>
      <c r="AK56" s="127" t="str">
        <f t="shared" si="42"/>
        <v>BAJO</v>
      </c>
      <c r="AL56" s="124" t="str">
        <f>VLOOKUP($AD56,[8]Tipologías!$B$3:$G$17,2,FALSE)</f>
        <v>ALTO</v>
      </c>
      <c r="AM56" s="124">
        <f t="shared" si="2"/>
        <v>3</v>
      </c>
      <c r="AN56" s="124" t="str">
        <f>VLOOKUP($AE56,[8]Tipologías!$A$21:$C$24,3,FALSE)</f>
        <v>MEDIO</v>
      </c>
      <c r="AO56" s="124">
        <f t="shared" si="3"/>
        <v>2</v>
      </c>
      <c r="AP56" s="124">
        <f>VLOOKUP($AI56,[8]Tipologías!$A$38:$B$42,2,FALSE)</f>
        <v>0</v>
      </c>
      <c r="AQ56" s="124">
        <f>VLOOKUP($AJ56,[8]Tipologías!$A$46:$B$53,2,FALSE)</f>
        <v>1.25</v>
      </c>
      <c r="AR56" s="124" t="str">
        <f t="shared" si="38"/>
        <v>ALTO</v>
      </c>
      <c r="AS56" s="124" t="str">
        <f>VLOOKUP($AG56,[8]Tipologías!$A$29:$C$33,3,FALSE)</f>
        <v>MEDIO</v>
      </c>
      <c r="AT56" s="124" t="str">
        <f t="shared" si="39"/>
        <v>BAJO</v>
      </c>
      <c r="AU56" s="80" t="str">
        <f t="shared" si="43"/>
        <v>MEDIO</v>
      </c>
      <c r="AV56" s="80" t="str">
        <f>_xlfn.IFNA(VLOOKUP(AD56,[9]Tipologías!$B$3:$G$17,4,0),"")</f>
        <v>INFORMACIÓN PÚBLICA CLASIFICADA</v>
      </c>
      <c r="AW56" s="124" t="str">
        <f t="shared" si="41"/>
        <v>IPC</v>
      </c>
      <c r="AX56" s="80" t="str">
        <f>_xlfn.IFNA(VLOOKUP(AD56,[9]Tipologías!$B$3:$G$17,3,0),"")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6" s="80" t="str">
        <f>_xlfn.IFNA(VLOOKUP(AD56,[9]Tipologías!$B$3:$G$17,5,0),"")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6" s="80" t="str">
        <f>_xlfn.IFNA(VLOOKUP(AD56,[9]Tipologías!$B$3:$G$17,6,0),"")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6" s="168" t="s">
        <v>197</v>
      </c>
      <c r="BB56" s="169">
        <v>45105</v>
      </c>
      <c r="BC56" s="168" t="s">
        <v>201</v>
      </c>
      <c r="BD56" s="170" t="s">
        <v>534</v>
      </c>
      <c r="BE56" s="170" t="s">
        <v>515</v>
      </c>
      <c r="BF56" s="45"/>
      <c r="BG56" s="45"/>
      <c r="BH56" s="45"/>
      <c r="BI56" s="45"/>
      <c r="BJ56" s="45"/>
      <c r="BK56" s="45"/>
      <c r="BL56" s="45"/>
      <c r="BM56" s="45"/>
      <c r="BN56" s="45"/>
      <c r="BO56" s="45"/>
      <c r="BP56" s="45"/>
      <c r="BQ56" s="45"/>
      <c r="BR56" s="45"/>
      <c r="BS56" s="45"/>
      <c r="BT56" s="45"/>
      <c r="BU56" s="45"/>
      <c r="BV56" s="45"/>
      <c r="BW56" s="45"/>
      <c r="BX56" s="45"/>
    </row>
    <row r="57" spans="1:76" s="67" customFormat="1" ht="207.75" customHeight="1" x14ac:dyDescent="0.2">
      <c r="A57" s="76">
        <v>48</v>
      </c>
      <c r="B57" s="74" t="s">
        <v>59</v>
      </c>
      <c r="C57" s="74" t="s">
        <v>303</v>
      </c>
      <c r="D57" s="100" t="s">
        <v>279</v>
      </c>
      <c r="E57" s="100" t="s">
        <v>541</v>
      </c>
      <c r="F57" s="75" t="s">
        <v>542</v>
      </c>
      <c r="G57" s="74" t="s">
        <v>205</v>
      </c>
      <c r="H57" s="75" t="s">
        <v>543</v>
      </c>
      <c r="I57" s="75" t="s">
        <v>543</v>
      </c>
      <c r="J57" s="107" t="s">
        <v>319</v>
      </c>
      <c r="K57" s="100" t="s">
        <v>320</v>
      </c>
      <c r="L57" s="75" t="s">
        <v>321</v>
      </c>
      <c r="M57" s="75" t="s">
        <v>497</v>
      </c>
      <c r="N57" s="75" t="s">
        <v>544</v>
      </c>
      <c r="O57" s="116" t="s">
        <v>150</v>
      </c>
      <c r="P57" s="100" t="s">
        <v>545</v>
      </c>
      <c r="Q57" s="100" t="s">
        <v>325</v>
      </c>
      <c r="R57" s="100"/>
      <c r="S57" s="100" t="s">
        <v>546</v>
      </c>
      <c r="T57" s="100" t="s">
        <v>546</v>
      </c>
      <c r="U57" s="77" t="s">
        <v>329</v>
      </c>
      <c r="V57" s="77" t="s">
        <v>195</v>
      </c>
      <c r="W57" s="77" t="s">
        <v>195</v>
      </c>
      <c r="X57" s="77" t="s">
        <v>195</v>
      </c>
      <c r="Y57" s="77" t="s">
        <v>195</v>
      </c>
      <c r="Z57" s="77" t="s">
        <v>195</v>
      </c>
      <c r="AA57" s="77" t="s">
        <v>195</v>
      </c>
      <c r="AB57" s="77" t="s">
        <v>195</v>
      </c>
      <c r="AC57" s="138" t="s">
        <v>195</v>
      </c>
      <c r="AD57" s="142" t="s">
        <v>208</v>
      </c>
      <c r="AE57" s="142" t="s">
        <v>134</v>
      </c>
      <c r="AF57" s="136" t="str">
        <f t="shared" ref="AF57:AF64" si="45">AR57</f>
        <v>ALTO</v>
      </c>
      <c r="AG57" s="77" t="s">
        <v>102</v>
      </c>
      <c r="AH57" s="136" t="str">
        <f t="shared" ref="AH57:AH65" si="46">_xlfn.IFNA((AS57),"")</f>
        <v>MEDIO</v>
      </c>
      <c r="AI57" s="78" t="s">
        <v>111</v>
      </c>
      <c r="AJ57" s="77" t="s">
        <v>119</v>
      </c>
      <c r="AK57" s="136" t="str">
        <f t="shared" si="42"/>
        <v>MEDIO</v>
      </c>
      <c r="AL57" s="80" t="str">
        <f>VLOOKUP($AD57,[10]Tipologías!$B$3:$G$17,2,FALSE)</f>
        <v>ALTO</v>
      </c>
      <c r="AM57" s="80">
        <f t="shared" si="2"/>
        <v>3</v>
      </c>
      <c r="AN57" s="80" t="str">
        <f>VLOOKUP($AE57,[10]Tipologías!$A$21:$C$24,3,FALSE)</f>
        <v>ALTO</v>
      </c>
      <c r="AO57" s="80">
        <f t="shared" si="3"/>
        <v>3</v>
      </c>
      <c r="AP57" s="80">
        <f>VLOOKUP($AI57,[10]Tipologías!$A$38:$B$42,2,FALSE)</f>
        <v>0.5</v>
      </c>
      <c r="AQ57" s="80">
        <f>VLOOKUP($AJ57,[10]Tipologías!$A$46:$B$53,2,FALSE)</f>
        <v>2</v>
      </c>
      <c r="AR57" s="80" t="str">
        <f>IF(MAX(AM57,AO57)=3,"ALTO",IF(MAX(AM57,AO57)=2,"MEDIO",IF(MAX(AM57,AO57)=1,"BAJO","  ")))</f>
        <v>ALTO</v>
      </c>
      <c r="AS57" s="80" t="str">
        <f>VLOOKUP($AG57,[10]Tipologías!$A$29:$C$33,3,FALSE)</f>
        <v>MEDIO</v>
      </c>
      <c r="AT57" s="80" t="str">
        <f>IF(SUM($AP57,$AQ57)&gt;=3,"ALTO",IF(SUM($AP57,$AQ57)&lt;2,"BAJO","MEDIO"))</f>
        <v>MEDIO</v>
      </c>
      <c r="AU57" s="80" t="str">
        <f>_xlfn.IFNA(IF(AND(AR57="BAJO",AS57="BAJO",AT57="BAJO"),"BAJO",IF(AND(AR57="ALTO",AS57="ALTO",AT57="ALTO"),"ALTO",IF(COUNTIF(AR57:AT57,"ALTO")=2,"ALTO","MEDIO")))," ")</f>
        <v>MEDIO</v>
      </c>
      <c r="AV57" s="80" t="str">
        <f>_xlfn.IFNA(VLOOKUP(AD57,[10]Tipologías!$B$3:$G$17,4,0),"")</f>
        <v>INFORMACIÓN PÚBLICA CLASIFICADA</v>
      </c>
      <c r="AW57" s="80" t="str">
        <f>IF(AV57="INFORMACIÓN PÚBLICA","IPB",IF(AV57="INFORMACIÓN PÚBLICA CLASIFICADA","IPC",IF(AV57="INFORMACIÓN PÚBLICA RESERVADA","IPR",IF(AV57="",""))))</f>
        <v>IPC</v>
      </c>
      <c r="AX57" s="80" t="str">
        <f>_xlfn.IFNA(VLOOKUP(AD57,[10]Tipologías!$B$3:$G$17,3,0),"")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7" s="80" t="str">
        <f>_xlfn.IFNA(VLOOKUP(AD57,[10]Tipologías!$B$3:$G$17,5,0),"")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7" s="80" t="str">
        <f>_xlfn.IFNA(VLOOKUP(AD57,[10]Tipologías!$B$3:$G$17,6,0),"")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7" s="148" t="s">
        <v>197</v>
      </c>
      <c r="BB57" s="166">
        <v>45133</v>
      </c>
      <c r="BC57" s="148" t="s">
        <v>224</v>
      </c>
      <c r="BD57" s="146" t="s">
        <v>547</v>
      </c>
      <c r="BE57" s="146" t="s">
        <v>548</v>
      </c>
      <c r="BF57" s="45"/>
      <c r="BG57" s="45"/>
      <c r="BH57" s="45"/>
      <c r="BI57" s="45"/>
      <c r="BJ57" s="45"/>
      <c r="BK57" s="45"/>
      <c r="BL57" s="45"/>
      <c r="BM57" s="45"/>
      <c r="BN57" s="45"/>
      <c r="BO57" s="45"/>
      <c r="BP57" s="45"/>
      <c r="BQ57" s="45"/>
      <c r="BR57" s="45"/>
      <c r="BS57" s="45"/>
      <c r="BT57" s="45"/>
      <c r="BU57" s="45"/>
      <c r="BV57" s="45"/>
      <c r="BW57" s="45"/>
      <c r="BX57" s="45"/>
    </row>
    <row r="58" spans="1:76" s="68" customFormat="1" ht="207.75" customHeight="1" x14ac:dyDescent="0.2">
      <c r="A58" s="76">
        <v>49</v>
      </c>
      <c r="B58" s="74" t="s">
        <v>59</v>
      </c>
      <c r="C58" s="74" t="s">
        <v>303</v>
      </c>
      <c r="D58" s="100" t="s">
        <v>279</v>
      </c>
      <c r="E58" s="100" t="s">
        <v>549</v>
      </c>
      <c r="F58" s="75" t="s">
        <v>550</v>
      </c>
      <c r="G58" s="74" t="s">
        <v>205</v>
      </c>
      <c r="H58" s="75" t="s">
        <v>543</v>
      </c>
      <c r="I58" s="75" t="s">
        <v>543</v>
      </c>
      <c r="J58" s="107" t="s">
        <v>319</v>
      </c>
      <c r="K58" s="100" t="s">
        <v>320</v>
      </c>
      <c r="L58" s="75" t="s">
        <v>321</v>
      </c>
      <c r="M58" s="75" t="s">
        <v>497</v>
      </c>
      <c r="N58" s="75" t="s">
        <v>544</v>
      </c>
      <c r="O58" s="116" t="s">
        <v>150</v>
      </c>
      <c r="P58" s="100" t="s">
        <v>545</v>
      </c>
      <c r="Q58" s="100" t="s">
        <v>325</v>
      </c>
      <c r="R58" s="100"/>
      <c r="S58" s="100" t="s">
        <v>546</v>
      </c>
      <c r="T58" s="100" t="s">
        <v>546</v>
      </c>
      <c r="U58" s="77" t="s">
        <v>329</v>
      </c>
      <c r="V58" s="77" t="s">
        <v>195</v>
      </c>
      <c r="W58" s="77" t="s">
        <v>195</v>
      </c>
      <c r="X58" s="77" t="s">
        <v>195</v>
      </c>
      <c r="Y58" s="77" t="s">
        <v>195</v>
      </c>
      <c r="Z58" s="77" t="s">
        <v>195</v>
      </c>
      <c r="AA58" s="77" t="s">
        <v>195</v>
      </c>
      <c r="AB58" s="77" t="s">
        <v>195</v>
      </c>
      <c r="AC58" s="138" t="s">
        <v>195</v>
      </c>
      <c r="AD58" s="142" t="s">
        <v>208</v>
      </c>
      <c r="AE58" s="142" t="s">
        <v>134</v>
      </c>
      <c r="AF58" s="136" t="str">
        <f t="shared" si="45"/>
        <v>ALTO</v>
      </c>
      <c r="AG58" s="77" t="s">
        <v>102</v>
      </c>
      <c r="AH58" s="136" t="str">
        <f t="shared" si="46"/>
        <v>MEDIO</v>
      </c>
      <c r="AI58" s="78" t="s">
        <v>111</v>
      </c>
      <c r="AJ58" s="77" t="s">
        <v>121</v>
      </c>
      <c r="AK58" s="136" t="str">
        <f t="shared" si="42"/>
        <v>BAJO</v>
      </c>
      <c r="AL58" s="80" t="str">
        <f>VLOOKUP($AD58,[10]Tipologías!$B$3:$G$17,2,FALSE)</f>
        <v>ALTO</v>
      </c>
      <c r="AM58" s="80">
        <f t="shared" si="2"/>
        <v>3</v>
      </c>
      <c r="AN58" s="80" t="str">
        <f>VLOOKUP($AE58,[10]Tipologías!$A$21:$C$24,3,FALSE)</f>
        <v>ALTO</v>
      </c>
      <c r="AO58" s="80">
        <f t="shared" si="3"/>
        <v>3</v>
      </c>
      <c r="AP58" s="80">
        <f>VLOOKUP($AI58,[10]Tipologías!$A$38:$B$42,2,FALSE)</f>
        <v>0.5</v>
      </c>
      <c r="AQ58" s="80">
        <f>VLOOKUP($AJ58,[10]Tipologías!$A$46:$B$53,2,FALSE)</f>
        <v>1.25</v>
      </c>
      <c r="AR58" s="80" t="str">
        <f t="shared" ref="AR58:AR64" si="47">IF(MAX(AM58,AO58)=3,"ALTO",IF(MAX(AM58,AO58)=2,"MEDIO",IF(MAX(AM58,AO58)=1,"BAJO","  ")))</f>
        <v>ALTO</v>
      </c>
      <c r="AS58" s="80" t="str">
        <f>VLOOKUP($AG58,[10]Tipologías!$A$29:$C$33,3,FALSE)</f>
        <v>MEDIO</v>
      </c>
      <c r="AT58" s="80" t="str">
        <f t="shared" ref="AT58:AT64" si="48">IF(SUM($AP58,$AQ58)&gt;=3,"ALTO",IF(SUM($AP58,$AQ58)&lt;2,"BAJO","MEDIO"))</f>
        <v>BAJO</v>
      </c>
      <c r="AU58" s="80" t="str">
        <f t="shared" ref="AU58:AU64" si="49">_xlfn.IFNA(IF(AND(AR58="BAJO",AS58="BAJO",AT58="BAJO"),"BAJO",IF(AND(AR58="ALTO",AS58="ALTO",AT58="ALTO"),"ALTO",IF(COUNTIF(AR58:AT58,"ALTO")=2,"ALTO","MEDIO")))," ")</f>
        <v>MEDIO</v>
      </c>
      <c r="AV58" s="80" t="str">
        <f>_xlfn.IFNA(VLOOKUP(AD58,[10]Tipologías!$B$3:$G$17,4,0),"")</f>
        <v>INFORMACIÓN PÚBLICA CLASIFICADA</v>
      </c>
      <c r="AW58" s="80" t="str">
        <f t="shared" ref="AW58:AW64" si="50">IF(AV58="INFORMACIÓN PÚBLICA","IPB",IF(AV58="INFORMACIÓN PÚBLICA CLASIFICADA","IPC",IF(AV58="INFORMACIÓN PÚBLICA RESERVADA","IPR",IF(AV58="",""))))</f>
        <v>IPC</v>
      </c>
      <c r="AX58" s="80" t="str">
        <f>_xlfn.IFNA(VLOOKUP(AD58,[10]Tipologías!$B$3:$G$17,3,0),"")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8" s="80" t="str">
        <f>_xlfn.IFNA(VLOOKUP(AD58,[10]Tipologías!$B$3:$G$17,5,0),"")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8" s="80" t="str">
        <f>_xlfn.IFNA(VLOOKUP(AD58,[10]Tipologías!$B$3:$G$17,6,0),"")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8" s="148" t="s">
        <v>197</v>
      </c>
      <c r="BB58" s="166">
        <v>45133</v>
      </c>
      <c r="BC58" s="148" t="s">
        <v>224</v>
      </c>
      <c r="BD58" s="146" t="s">
        <v>547</v>
      </c>
      <c r="BE58" s="146" t="s">
        <v>548</v>
      </c>
      <c r="BF58" s="45"/>
      <c r="BG58" s="45"/>
      <c r="BH58" s="45"/>
      <c r="BI58" s="45"/>
      <c r="BJ58" s="45"/>
      <c r="BK58" s="45"/>
      <c r="BL58" s="45"/>
      <c r="BM58" s="45"/>
      <c r="BN58" s="45"/>
      <c r="BO58" s="45"/>
      <c r="BP58" s="45"/>
      <c r="BQ58" s="45"/>
      <c r="BR58" s="45"/>
      <c r="BS58" s="45"/>
      <c r="BT58" s="45"/>
      <c r="BU58" s="45"/>
      <c r="BV58" s="45"/>
      <c r="BW58" s="45"/>
      <c r="BX58" s="45"/>
    </row>
    <row r="59" spans="1:76" s="67" customFormat="1" ht="207.75" customHeight="1" x14ac:dyDescent="0.2">
      <c r="A59" s="76">
        <v>50</v>
      </c>
      <c r="B59" s="74" t="s">
        <v>59</v>
      </c>
      <c r="C59" s="74" t="s">
        <v>303</v>
      </c>
      <c r="D59" s="100" t="s">
        <v>279</v>
      </c>
      <c r="E59" s="100" t="s">
        <v>551</v>
      </c>
      <c r="F59" s="75" t="s">
        <v>552</v>
      </c>
      <c r="G59" s="74" t="s">
        <v>141</v>
      </c>
      <c r="H59" s="75" t="s">
        <v>543</v>
      </c>
      <c r="I59" s="75" t="s">
        <v>543</v>
      </c>
      <c r="J59" s="107" t="s">
        <v>336</v>
      </c>
      <c r="K59" s="100" t="s">
        <v>320</v>
      </c>
      <c r="L59" s="75" t="s">
        <v>321</v>
      </c>
      <c r="M59" s="116" t="s">
        <v>195</v>
      </c>
      <c r="N59" s="75" t="s">
        <v>544</v>
      </c>
      <c r="O59" s="116" t="s">
        <v>146</v>
      </c>
      <c r="P59" s="100" t="s">
        <v>553</v>
      </c>
      <c r="Q59" s="100" t="s">
        <v>325</v>
      </c>
      <c r="R59" s="100"/>
      <c r="S59" s="100" t="s">
        <v>546</v>
      </c>
      <c r="T59" s="100" t="s">
        <v>546</v>
      </c>
      <c r="U59" s="77" t="s">
        <v>329</v>
      </c>
      <c r="V59" s="77" t="s">
        <v>195</v>
      </c>
      <c r="W59" s="77" t="s">
        <v>195</v>
      </c>
      <c r="X59" s="77" t="s">
        <v>195</v>
      </c>
      <c r="Y59" s="77" t="s">
        <v>195</v>
      </c>
      <c r="Z59" s="77" t="s">
        <v>195</v>
      </c>
      <c r="AA59" s="77" t="s">
        <v>195</v>
      </c>
      <c r="AB59" s="77" t="s">
        <v>195</v>
      </c>
      <c r="AC59" s="138" t="s">
        <v>195</v>
      </c>
      <c r="AD59" s="142" t="s">
        <v>208</v>
      </c>
      <c r="AE59" s="142" t="s">
        <v>134</v>
      </c>
      <c r="AF59" s="136" t="str">
        <f t="shared" si="45"/>
        <v>ALTO</v>
      </c>
      <c r="AG59" s="77" t="s">
        <v>104</v>
      </c>
      <c r="AH59" s="136" t="str">
        <f t="shared" si="46"/>
        <v>ALTO</v>
      </c>
      <c r="AI59" s="78" t="s">
        <v>113</v>
      </c>
      <c r="AJ59" s="77" t="s">
        <v>120</v>
      </c>
      <c r="AK59" s="136" t="str">
        <f t="shared" si="42"/>
        <v>MEDIO</v>
      </c>
      <c r="AL59" s="80" t="str">
        <f>VLOOKUP($AD59,[10]Tipologías!$B$3:$G$17,2,FALSE)</f>
        <v>ALTO</v>
      </c>
      <c r="AM59" s="80">
        <f t="shared" si="2"/>
        <v>3</v>
      </c>
      <c r="AN59" s="80" t="str">
        <f>VLOOKUP($AE59,[10]Tipologías!$A$21:$C$24,3,FALSE)</f>
        <v>ALTO</v>
      </c>
      <c r="AO59" s="80">
        <f t="shared" si="3"/>
        <v>3</v>
      </c>
      <c r="AP59" s="80">
        <f>VLOOKUP($AI59,[10]Tipologías!$A$38:$B$42,2,FALSE)</f>
        <v>1</v>
      </c>
      <c r="AQ59" s="80">
        <f>VLOOKUP($AJ59,[10]Tipologías!$A$46:$B$53,2,FALSE)</f>
        <v>1.5</v>
      </c>
      <c r="AR59" s="80" t="str">
        <f t="shared" si="47"/>
        <v>ALTO</v>
      </c>
      <c r="AS59" s="80" t="str">
        <f>VLOOKUP($AG59,[10]Tipologías!$A$29:$C$33,3,FALSE)</f>
        <v>ALTO</v>
      </c>
      <c r="AT59" s="80" t="str">
        <f t="shared" si="48"/>
        <v>MEDIO</v>
      </c>
      <c r="AU59" s="80" t="str">
        <f t="shared" si="49"/>
        <v>ALTO</v>
      </c>
      <c r="AV59" s="80" t="str">
        <f>_xlfn.IFNA(VLOOKUP(AD59,[10]Tipologías!$B$3:$G$17,4,0),"")</f>
        <v>INFORMACIÓN PÚBLICA CLASIFICADA</v>
      </c>
      <c r="AW59" s="80" t="str">
        <f t="shared" si="50"/>
        <v>IPC</v>
      </c>
      <c r="AX59" s="80" t="str">
        <f>_xlfn.IFNA(VLOOKUP(AD59,[10]Tipologías!$B$3:$G$17,3,0),"")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9" s="80" t="str">
        <f>_xlfn.IFNA(VLOOKUP(AD59,[10]Tipologías!$B$3:$G$17,5,0),"")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9" s="80" t="str">
        <f>_xlfn.IFNA(VLOOKUP(AD59,[10]Tipologías!$B$3:$G$17,6,0),"")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9" s="148" t="s">
        <v>197</v>
      </c>
      <c r="BB59" s="166">
        <v>45133</v>
      </c>
      <c r="BC59" s="148" t="s">
        <v>201</v>
      </c>
      <c r="BD59" s="146" t="s">
        <v>547</v>
      </c>
      <c r="BE59" s="146" t="s">
        <v>548</v>
      </c>
      <c r="BF59" s="45"/>
      <c r="BG59" s="45"/>
      <c r="BH59" s="45"/>
      <c r="BI59" s="45"/>
      <c r="BJ59" s="45"/>
      <c r="BK59" s="45"/>
      <c r="BL59" s="45"/>
      <c r="BM59" s="45"/>
      <c r="BN59" s="45"/>
      <c r="BO59" s="45"/>
      <c r="BP59" s="45"/>
      <c r="BQ59" s="45"/>
      <c r="BR59" s="45"/>
      <c r="BS59" s="45"/>
      <c r="BT59" s="45"/>
      <c r="BU59" s="45"/>
      <c r="BV59" s="45"/>
      <c r="BW59" s="45"/>
      <c r="BX59" s="45"/>
    </row>
    <row r="60" spans="1:76" s="68" customFormat="1" ht="207.75" customHeight="1" x14ac:dyDescent="0.2">
      <c r="A60" s="76">
        <v>51</v>
      </c>
      <c r="B60" s="74" t="s">
        <v>59</v>
      </c>
      <c r="C60" s="74" t="s">
        <v>303</v>
      </c>
      <c r="D60" s="100" t="s">
        <v>279</v>
      </c>
      <c r="E60" s="100" t="s">
        <v>551</v>
      </c>
      <c r="F60" s="75" t="s">
        <v>554</v>
      </c>
      <c r="G60" s="74" t="s">
        <v>174</v>
      </c>
      <c r="H60" s="75" t="s">
        <v>543</v>
      </c>
      <c r="I60" s="75" t="s">
        <v>543</v>
      </c>
      <c r="J60" s="107" t="s">
        <v>336</v>
      </c>
      <c r="K60" s="100" t="s">
        <v>320</v>
      </c>
      <c r="L60" s="75" t="s">
        <v>321</v>
      </c>
      <c r="M60" s="116" t="s">
        <v>195</v>
      </c>
      <c r="N60" s="75" t="s">
        <v>555</v>
      </c>
      <c r="O60" s="116" t="s">
        <v>146</v>
      </c>
      <c r="P60" s="100" t="s">
        <v>556</v>
      </c>
      <c r="Q60" s="100" t="s">
        <v>325</v>
      </c>
      <c r="R60" s="100" t="s">
        <v>325</v>
      </c>
      <c r="S60" s="100" t="s">
        <v>546</v>
      </c>
      <c r="T60" s="100" t="s">
        <v>546</v>
      </c>
      <c r="U60" s="77" t="s">
        <v>328</v>
      </c>
      <c r="V60" s="77" t="s">
        <v>328</v>
      </c>
      <c r="W60" s="77" t="s">
        <v>328</v>
      </c>
      <c r="X60" s="77" t="s">
        <v>329</v>
      </c>
      <c r="Y60" s="77" t="s">
        <v>328</v>
      </c>
      <c r="Z60" s="77" t="s">
        <v>328</v>
      </c>
      <c r="AA60" s="77" t="s">
        <v>328</v>
      </c>
      <c r="AB60" s="77" t="s">
        <v>329</v>
      </c>
      <c r="AC60" s="138" t="s">
        <v>195</v>
      </c>
      <c r="AD60" s="142" t="s">
        <v>206</v>
      </c>
      <c r="AE60" s="142" t="s">
        <v>134</v>
      </c>
      <c r="AF60" s="136" t="str">
        <f t="shared" si="45"/>
        <v>ALTO</v>
      </c>
      <c r="AG60" s="77" t="s">
        <v>104</v>
      </c>
      <c r="AH60" s="136" t="str">
        <f t="shared" si="46"/>
        <v>ALTO</v>
      </c>
      <c r="AI60" s="78" t="s">
        <v>111</v>
      </c>
      <c r="AJ60" s="77" t="s">
        <v>122</v>
      </c>
      <c r="AK60" s="136" t="str">
        <f t="shared" si="42"/>
        <v>BAJO</v>
      </c>
      <c r="AL60" s="80" t="str">
        <f>VLOOKUP($AD60,[10]Tipologías!$B$3:$G$17,2,FALSE)</f>
        <v>ALTO</v>
      </c>
      <c r="AM60" s="80">
        <f t="shared" si="2"/>
        <v>3</v>
      </c>
      <c r="AN60" s="80" t="str">
        <f>VLOOKUP($AE60,[10]Tipologías!$A$21:$C$24,3,FALSE)</f>
        <v>ALTO</v>
      </c>
      <c r="AO60" s="80">
        <f t="shared" si="3"/>
        <v>3</v>
      </c>
      <c r="AP60" s="80">
        <f>VLOOKUP($AI60,[10]Tipologías!$A$38:$B$42,2,FALSE)</f>
        <v>0.5</v>
      </c>
      <c r="AQ60" s="80">
        <f>VLOOKUP($AJ60,[10]Tipologías!$A$46:$B$53,2,FALSE)</f>
        <v>1</v>
      </c>
      <c r="AR60" s="80" t="str">
        <f t="shared" si="47"/>
        <v>ALTO</v>
      </c>
      <c r="AS60" s="80" t="str">
        <f>VLOOKUP($AG60,[10]Tipologías!$A$29:$C$33,3,FALSE)</f>
        <v>ALTO</v>
      </c>
      <c r="AT60" s="80" t="str">
        <f t="shared" si="48"/>
        <v>BAJO</v>
      </c>
      <c r="AU60" s="80" t="str">
        <f t="shared" si="49"/>
        <v>ALTO</v>
      </c>
      <c r="AV60" s="80" t="str">
        <f>_xlfn.IFNA(VLOOKUP(AD60,[10]Tipologías!$B$3:$G$17,4,0),"")</f>
        <v>INFORMACIÓN PÚBLICA CLASIFICADA</v>
      </c>
      <c r="AW60" s="80" t="str">
        <f t="shared" si="50"/>
        <v>IPC</v>
      </c>
      <c r="AX60" s="80" t="str">
        <f>_xlfn.IFNA(VLOOKUP(AD60,[10]Tipologías!$B$3:$G$17,3,0),"")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0" s="80" t="str">
        <f>_xlfn.IFNA(VLOOKUP(AD60,[10]Tipologías!$B$3:$G$17,5,0),"")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0" s="80" t="str">
        <f>_xlfn.IFNA(VLOOKUP(AD60,[10]Tipologías!$B$3:$G$17,6,0),"")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0" s="148" t="s">
        <v>196</v>
      </c>
      <c r="BB60" s="166">
        <v>45133</v>
      </c>
      <c r="BC60" s="148" t="s">
        <v>201</v>
      </c>
      <c r="BD60" s="146" t="s">
        <v>547</v>
      </c>
      <c r="BE60" s="146" t="s">
        <v>548</v>
      </c>
      <c r="BF60" s="45"/>
      <c r="BG60" s="45"/>
      <c r="BH60" s="45"/>
      <c r="BI60" s="45"/>
      <c r="BJ60" s="45"/>
      <c r="BK60" s="45"/>
      <c r="BL60" s="45"/>
      <c r="BM60" s="45"/>
      <c r="BN60" s="45"/>
      <c r="BO60" s="45"/>
      <c r="BP60" s="45"/>
      <c r="BQ60" s="45"/>
      <c r="BR60" s="45"/>
      <c r="BS60" s="45"/>
      <c r="BT60" s="45"/>
      <c r="BU60" s="45"/>
      <c r="BV60" s="45"/>
      <c r="BW60" s="45"/>
      <c r="BX60" s="45"/>
    </row>
    <row r="61" spans="1:76" s="67" customFormat="1" ht="207.75" customHeight="1" x14ac:dyDescent="0.2">
      <c r="A61" s="76">
        <v>52</v>
      </c>
      <c r="B61" s="74" t="s">
        <v>59</v>
      </c>
      <c r="C61" s="74" t="s">
        <v>303</v>
      </c>
      <c r="D61" s="100" t="s">
        <v>279</v>
      </c>
      <c r="E61" s="100" t="s">
        <v>557</v>
      </c>
      <c r="F61" s="75" t="s">
        <v>558</v>
      </c>
      <c r="G61" s="74" t="s">
        <v>174</v>
      </c>
      <c r="H61" s="75" t="s">
        <v>543</v>
      </c>
      <c r="I61" s="75" t="s">
        <v>543</v>
      </c>
      <c r="J61" s="107" t="s">
        <v>336</v>
      </c>
      <c r="K61" s="100" t="s">
        <v>320</v>
      </c>
      <c r="L61" s="75" t="s">
        <v>321</v>
      </c>
      <c r="M61" s="116" t="s">
        <v>195</v>
      </c>
      <c r="N61" s="75" t="s">
        <v>559</v>
      </c>
      <c r="O61" s="116" t="s">
        <v>146</v>
      </c>
      <c r="P61" s="100" t="s">
        <v>560</v>
      </c>
      <c r="Q61" s="100" t="s">
        <v>325</v>
      </c>
      <c r="R61" s="100" t="s">
        <v>325</v>
      </c>
      <c r="S61" s="100" t="s">
        <v>546</v>
      </c>
      <c r="T61" s="100" t="s">
        <v>546</v>
      </c>
      <c r="U61" s="77" t="s">
        <v>328</v>
      </c>
      <c r="V61" s="77" t="s">
        <v>328</v>
      </c>
      <c r="W61" s="77" t="s">
        <v>328</v>
      </c>
      <c r="X61" s="77" t="s">
        <v>329</v>
      </c>
      <c r="Y61" s="77" t="s">
        <v>328</v>
      </c>
      <c r="Z61" s="77" t="s">
        <v>329</v>
      </c>
      <c r="AA61" s="77" t="s">
        <v>328</v>
      </c>
      <c r="AB61" s="77" t="s">
        <v>328</v>
      </c>
      <c r="AC61" s="138" t="s">
        <v>195</v>
      </c>
      <c r="AD61" s="142" t="s">
        <v>206</v>
      </c>
      <c r="AE61" s="142" t="s">
        <v>134</v>
      </c>
      <c r="AF61" s="136" t="str">
        <f t="shared" si="45"/>
        <v>ALTO</v>
      </c>
      <c r="AG61" s="77" t="s">
        <v>102</v>
      </c>
      <c r="AH61" s="136" t="str">
        <f t="shared" si="46"/>
        <v>MEDIO</v>
      </c>
      <c r="AI61" s="78" t="s">
        <v>114</v>
      </c>
      <c r="AJ61" s="77" t="s">
        <v>121</v>
      </c>
      <c r="AK61" s="136" t="str">
        <f t="shared" si="42"/>
        <v>MEDIO</v>
      </c>
      <c r="AL61" s="80" t="str">
        <f>VLOOKUP($AD61,[10]Tipologías!$B$3:$G$17,2,FALSE)</f>
        <v>ALTO</v>
      </c>
      <c r="AM61" s="80">
        <f t="shared" si="2"/>
        <v>3</v>
      </c>
      <c r="AN61" s="80" t="str">
        <f>VLOOKUP($AE61,[10]Tipologías!$A$21:$C$24,3,FALSE)</f>
        <v>ALTO</v>
      </c>
      <c r="AO61" s="80">
        <f t="shared" si="3"/>
        <v>3</v>
      </c>
      <c r="AP61" s="80">
        <f>VLOOKUP($AI61,[10]Tipologías!$A$38:$B$42,2,FALSE)</f>
        <v>1.5</v>
      </c>
      <c r="AQ61" s="80">
        <f>VLOOKUP($AJ61,[10]Tipologías!$A$46:$B$53,2,FALSE)</f>
        <v>1.25</v>
      </c>
      <c r="AR61" s="80" t="str">
        <f t="shared" si="47"/>
        <v>ALTO</v>
      </c>
      <c r="AS61" s="80" t="str">
        <f>VLOOKUP($AG61,[10]Tipologías!$A$29:$C$33,3,FALSE)</f>
        <v>MEDIO</v>
      </c>
      <c r="AT61" s="80" t="str">
        <f t="shared" si="48"/>
        <v>MEDIO</v>
      </c>
      <c r="AU61" s="80" t="str">
        <f t="shared" si="49"/>
        <v>MEDIO</v>
      </c>
      <c r="AV61" s="80" t="str">
        <f>_xlfn.IFNA(VLOOKUP(AD61,[10]Tipologías!$B$3:$G$17,4,0),"")</f>
        <v>INFORMACIÓN PÚBLICA CLASIFICADA</v>
      </c>
      <c r="AW61" s="80" t="str">
        <f t="shared" si="50"/>
        <v>IPC</v>
      </c>
      <c r="AX61" s="80" t="str">
        <f>_xlfn.IFNA(VLOOKUP(AD61,[10]Tipologías!$B$3:$G$17,3,0),"")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1" s="80" t="str">
        <f>_xlfn.IFNA(VLOOKUP(AD61,[10]Tipologías!$B$3:$G$17,5,0),"")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1" s="80" t="str">
        <f>_xlfn.IFNA(VLOOKUP(AD61,[10]Tipologías!$B$3:$G$17,6,0),"")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1" s="148" t="s">
        <v>196</v>
      </c>
      <c r="BB61" s="166">
        <v>45133</v>
      </c>
      <c r="BC61" s="148" t="s">
        <v>201</v>
      </c>
      <c r="BD61" s="146" t="s">
        <v>547</v>
      </c>
      <c r="BE61" s="146" t="s">
        <v>548</v>
      </c>
      <c r="BF61" s="45"/>
      <c r="BG61" s="45"/>
      <c r="BH61" s="45"/>
      <c r="BI61" s="45"/>
      <c r="BJ61" s="45"/>
      <c r="BK61" s="45"/>
      <c r="BL61" s="45"/>
      <c r="BM61" s="45"/>
      <c r="BN61" s="45"/>
      <c r="BO61" s="45"/>
      <c r="BP61" s="45"/>
      <c r="BQ61" s="45"/>
      <c r="BR61" s="45"/>
      <c r="BS61" s="45"/>
      <c r="BT61" s="45"/>
      <c r="BU61" s="45"/>
      <c r="BV61" s="45"/>
      <c r="BW61" s="45"/>
      <c r="BX61" s="45"/>
    </row>
    <row r="62" spans="1:76" s="67" customFormat="1" ht="207.75" customHeight="1" x14ac:dyDescent="0.2">
      <c r="A62" s="76">
        <v>53</v>
      </c>
      <c r="B62" s="74" t="s">
        <v>59</v>
      </c>
      <c r="C62" s="74" t="s">
        <v>303</v>
      </c>
      <c r="D62" s="100" t="s">
        <v>279</v>
      </c>
      <c r="E62" s="100" t="s">
        <v>557</v>
      </c>
      <c r="F62" s="75" t="s">
        <v>561</v>
      </c>
      <c r="G62" s="74" t="s">
        <v>199</v>
      </c>
      <c r="H62" s="75" t="s">
        <v>543</v>
      </c>
      <c r="I62" s="75" t="s">
        <v>543</v>
      </c>
      <c r="J62" s="107" t="s">
        <v>336</v>
      </c>
      <c r="K62" s="100" t="s">
        <v>320</v>
      </c>
      <c r="L62" s="75" t="s">
        <v>321</v>
      </c>
      <c r="M62" s="116" t="s">
        <v>195</v>
      </c>
      <c r="N62" s="75" t="s">
        <v>559</v>
      </c>
      <c r="O62" s="116" t="s">
        <v>146</v>
      </c>
      <c r="P62" s="100" t="s">
        <v>560</v>
      </c>
      <c r="Q62" s="100" t="s">
        <v>325</v>
      </c>
      <c r="R62" s="100" t="s">
        <v>325</v>
      </c>
      <c r="S62" s="100" t="s">
        <v>546</v>
      </c>
      <c r="T62" s="100" t="s">
        <v>546</v>
      </c>
      <c r="U62" s="77" t="s">
        <v>328</v>
      </c>
      <c r="V62" s="77" t="s">
        <v>329</v>
      </c>
      <c r="W62" s="77" t="s">
        <v>328</v>
      </c>
      <c r="X62" s="77" t="s">
        <v>329</v>
      </c>
      <c r="Y62" s="77" t="s">
        <v>328</v>
      </c>
      <c r="Z62" s="77" t="s">
        <v>329</v>
      </c>
      <c r="AA62" s="77" t="s">
        <v>195</v>
      </c>
      <c r="AB62" s="77" t="s">
        <v>328</v>
      </c>
      <c r="AC62" s="138" t="s">
        <v>195</v>
      </c>
      <c r="AD62" s="142" t="s">
        <v>206</v>
      </c>
      <c r="AE62" s="142" t="s">
        <v>132</v>
      </c>
      <c r="AF62" s="136" t="str">
        <f t="shared" si="45"/>
        <v>ALTO</v>
      </c>
      <c r="AG62" s="77" t="s">
        <v>104</v>
      </c>
      <c r="AH62" s="136" t="str">
        <f t="shared" si="46"/>
        <v>ALTO</v>
      </c>
      <c r="AI62" s="78" t="s">
        <v>114</v>
      </c>
      <c r="AJ62" s="77" t="s">
        <v>121</v>
      </c>
      <c r="AK62" s="136" t="str">
        <f t="shared" si="42"/>
        <v>MEDIO</v>
      </c>
      <c r="AL62" s="80" t="str">
        <f>VLOOKUP($AD62,[10]Tipologías!$B$3:$G$17,2,FALSE)</f>
        <v>ALTO</v>
      </c>
      <c r="AM62" s="80">
        <f t="shared" si="2"/>
        <v>3</v>
      </c>
      <c r="AN62" s="80" t="str">
        <f>VLOOKUP($AE62,[10]Tipologías!$A$21:$C$24,3,FALSE)</f>
        <v>MEDIO</v>
      </c>
      <c r="AO62" s="80">
        <f t="shared" si="3"/>
        <v>2</v>
      </c>
      <c r="AP62" s="80">
        <f>VLOOKUP($AI62,[10]Tipologías!$A$38:$B$42,2,FALSE)</f>
        <v>1.5</v>
      </c>
      <c r="AQ62" s="80">
        <f>VLOOKUP($AJ62,[10]Tipologías!$A$46:$B$53,2,FALSE)</f>
        <v>1.25</v>
      </c>
      <c r="AR62" s="80" t="str">
        <f t="shared" si="47"/>
        <v>ALTO</v>
      </c>
      <c r="AS62" s="80" t="str">
        <f>VLOOKUP($AG62,[10]Tipologías!$A$29:$C$33,3,FALSE)</f>
        <v>ALTO</v>
      </c>
      <c r="AT62" s="80" t="str">
        <f t="shared" si="48"/>
        <v>MEDIO</v>
      </c>
      <c r="AU62" s="80" t="str">
        <f t="shared" si="49"/>
        <v>ALTO</v>
      </c>
      <c r="AV62" s="80" t="str">
        <f>_xlfn.IFNA(VLOOKUP(AD62,[10]Tipologías!$B$3:$G$17,4,0),"")</f>
        <v>INFORMACIÓN PÚBLICA CLASIFICADA</v>
      </c>
      <c r="AW62" s="80" t="str">
        <f t="shared" si="50"/>
        <v>IPC</v>
      </c>
      <c r="AX62" s="80" t="str">
        <f>_xlfn.IFNA(VLOOKUP(AD62,[10]Tipologías!$B$3:$G$17,3,0),"")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2" s="80" t="str">
        <f>_xlfn.IFNA(VLOOKUP(AD62,[10]Tipologías!$B$3:$G$17,5,0),"")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2" s="80" t="str">
        <f>_xlfn.IFNA(VLOOKUP(AD62,[10]Tipologías!$B$3:$G$17,6,0),"")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2" s="148" t="s">
        <v>196</v>
      </c>
      <c r="BB62" s="166">
        <v>45133</v>
      </c>
      <c r="BC62" s="148" t="s">
        <v>201</v>
      </c>
      <c r="BD62" s="146" t="s">
        <v>547</v>
      </c>
      <c r="BE62" s="146" t="s">
        <v>548</v>
      </c>
      <c r="BF62" s="45"/>
      <c r="BG62" s="45"/>
      <c r="BH62" s="45"/>
      <c r="BI62" s="45"/>
      <c r="BJ62" s="45"/>
      <c r="BK62" s="45"/>
      <c r="BL62" s="45"/>
      <c r="BM62" s="45"/>
      <c r="BN62" s="45"/>
      <c r="BO62" s="45"/>
      <c r="BP62" s="45"/>
      <c r="BQ62" s="45"/>
      <c r="BR62" s="45"/>
      <c r="BS62" s="45"/>
      <c r="BT62" s="45"/>
      <c r="BU62" s="45"/>
      <c r="BV62" s="45"/>
      <c r="BW62" s="45"/>
      <c r="BX62" s="45"/>
    </row>
    <row r="63" spans="1:76" s="67" customFormat="1" ht="207.75" customHeight="1" x14ac:dyDescent="0.2">
      <c r="A63" s="76">
        <v>54</v>
      </c>
      <c r="B63" s="74" t="s">
        <v>59</v>
      </c>
      <c r="C63" s="74" t="s">
        <v>303</v>
      </c>
      <c r="D63" s="100" t="s">
        <v>279</v>
      </c>
      <c r="E63" s="100" t="s">
        <v>557</v>
      </c>
      <c r="F63" s="75" t="s">
        <v>562</v>
      </c>
      <c r="G63" s="74" t="s">
        <v>141</v>
      </c>
      <c r="H63" s="75" t="s">
        <v>543</v>
      </c>
      <c r="I63" s="75" t="s">
        <v>543</v>
      </c>
      <c r="J63" s="107" t="s">
        <v>336</v>
      </c>
      <c r="K63" s="100" t="s">
        <v>320</v>
      </c>
      <c r="L63" s="75" t="s">
        <v>321</v>
      </c>
      <c r="M63" s="75" t="s">
        <v>563</v>
      </c>
      <c r="N63" s="75" t="s">
        <v>559</v>
      </c>
      <c r="O63" s="116" t="s">
        <v>151</v>
      </c>
      <c r="P63" s="100" t="s">
        <v>545</v>
      </c>
      <c r="Q63" s="100"/>
      <c r="R63" s="100" t="s">
        <v>325</v>
      </c>
      <c r="S63" s="100" t="s">
        <v>546</v>
      </c>
      <c r="T63" s="100" t="s">
        <v>546</v>
      </c>
      <c r="U63" s="77" t="s">
        <v>329</v>
      </c>
      <c r="V63" s="77" t="s">
        <v>195</v>
      </c>
      <c r="W63" s="77" t="s">
        <v>195</v>
      </c>
      <c r="X63" s="77" t="s">
        <v>195</v>
      </c>
      <c r="Y63" s="77" t="s">
        <v>195</v>
      </c>
      <c r="Z63" s="77" t="s">
        <v>195</v>
      </c>
      <c r="AA63" s="77" t="s">
        <v>195</v>
      </c>
      <c r="AB63" s="77" t="s">
        <v>195</v>
      </c>
      <c r="AC63" s="138" t="s">
        <v>195</v>
      </c>
      <c r="AD63" s="142" t="s">
        <v>207</v>
      </c>
      <c r="AE63" s="142" t="s">
        <v>130</v>
      </c>
      <c r="AF63" s="136" t="str">
        <f t="shared" si="45"/>
        <v>ALTO</v>
      </c>
      <c r="AG63" s="77" t="s">
        <v>104</v>
      </c>
      <c r="AH63" s="136" t="str">
        <f t="shared" si="46"/>
        <v>ALTO</v>
      </c>
      <c r="AI63" s="78" t="s">
        <v>114</v>
      </c>
      <c r="AJ63" s="77" t="s">
        <v>117</v>
      </c>
      <c r="AK63" s="136" t="str">
        <f t="shared" si="42"/>
        <v>ALTO</v>
      </c>
      <c r="AL63" s="80" t="str">
        <f>VLOOKUP($AD63,[10]Tipologías!$B$3:$G$17,2,FALSE)</f>
        <v>ALTO</v>
      </c>
      <c r="AM63" s="80">
        <f t="shared" si="2"/>
        <v>3</v>
      </c>
      <c r="AN63" s="80" t="str">
        <f>VLOOKUP($AE63,[10]Tipologías!$A$21:$C$24,3,FALSE)</f>
        <v>BAJO</v>
      </c>
      <c r="AO63" s="80">
        <f t="shared" si="3"/>
        <v>1</v>
      </c>
      <c r="AP63" s="80">
        <f>VLOOKUP($AI63,[10]Tipologías!$A$38:$B$42,2,FALSE)</f>
        <v>1.5</v>
      </c>
      <c r="AQ63" s="80">
        <f>VLOOKUP($AJ63,[10]Tipologías!$A$46:$B$53,2,FALSE)</f>
        <v>2.5</v>
      </c>
      <c r="AR63" s="80" t="str">
        <f t="shared" si="47"/>
        <v>ALTO</v>
      </c>
      <c r="AS63" s="80" t="str">
        <f>VLOOKUP($AG63,[10]Tipologías!$A$29:$C$33,3,FALSE)</f>
        <v>ALTO</v>
      </c>
      <c r="AT63" s="80" t="str">
        <f t="shared" si="48"/>
        <v>ALTO</v>
      </c>
      <c r="AU63" s="80" t="str">
        <f t="shared" si="49"/>
        <v>ALTO</v>
      </c>
      <c r="AV63" s="80" t="str">
        <f>_xlfn.IFNA(VLOOKUP(AD63,[10]Tipologías!$B$3:$G$17,4,0),"")</f>
        <v>INFORMACIÓN PÚBLICA CLASIFICADA</v>
      </c>
      <c r="AW63" s="80" t="str">
        <f t="shared" si="50"/>
        <v>IPC</v>
      </c>
      <c r="AX63" s="80" t="str">
        <f>_xlfn.IFNA(VLOOKUP(AD63,[10]Tipologías!$B$3:$G$17,3,0),"")</f>
        <v>LEY 1712 DE 2014, ARTÍCULO 18 CORREGIDO POR EL ARTÍCULO 2 DEL DECRETO LEY 1494 DE 2015. INFORMACIÓN EXCEPTUADA POR DAÑO DE DERECHOS A PERSONAS NATURALES O JURÍDICAS, LITERAL B "EL DERECHO DE TODA PERSONA A LA VIDA, LA SALUD O LA SEGURIDAD."</v>
      </c>
      <c r="AY63" s="80" t="str">
        <f>_xlfn.IFNA(VLOOKUP(AD63,[10]Tipologías!$B$3:$G$17,5,0),"")</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AZ63" s="80" t="str">
        <f>_xlfn.IFNA(VLOOKUP(AD63,[10]Tipologías!$B$3:$G$17,6,0),"")</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BA63" s="148" t="s">
        <v>198</v>
      </c>
      <c r="BB63" s="166">
        <v>45133</v>
      </c>
      <c r="BC63" s="148" t="s">
        <v>195</v>
      </c>
      <c r="BD63" s="146" t="s">
        <v>547</v>
      </c>
      <c r="BE63" s="146" t="s">
        <v>548</v>
      </c>
      <c r="BF63" s="45"/>
      <c r="BG63" s="45"/>
      <c r="BH63" s="45"/>
      <c r="BI63" s="45"/>
      <c r="BJ63" s="45"/>
      <c r="BK63" s="45"/>
      <c r="BL63" s="45"/>
      <c r="BM63" s="45"/>
      <c r="BN63" s="45"/>
      <c r="BO63" s="45"/>
      <c r="BP63" s="45"/>
      <c r="BQ63" s="45"/>
      <c r="BR63" s="45"/>
      <c r="BS63" s="45"/>
      <c r="BT63" s="45"/>
      <c r="BU63" s="45"/>
      <c r="BV63" s="45"/>
      <c r="BW63" s="45"/>
      <c r="BX63" s="45"/>
    </row>
    <row r="64" spans="1:76" s="68" customFormat="1" ht="207.75" customHeight="1" x14ac:dyDescent="0.2">
      <c r="A64" s="76">
        <v>55</v>
      </c>
      <c r="B64" s="74" t="s">
        <v>59</v>
      </c>
      <c r="C64" s="74" t="s">
        <v>303</v>
      </c>
      <c r="D64" s="100" t="s">
        <v>279</v>
      </c>
      <c r="E64" s="100" t="s">
        <v>564</v>
      </c>
      <c r="F64" s="75" t="s">
        <v>565</v>
      </c>
      <c r="G64" s="74" t="s">
        <v>173</v>
      </c>
      <c r="H64" s="75" t="s">
        <v>543</v>
      </c>
      <c r="I64" s="75" t="s">
        <v>543</v>
      </c>
      <c r="J64" s="100" t="s">
        <v>195</v>
      </c>
      <c r="K64" s="100" t="s">
        <v>320</v>
      </c>
      <c r="L64" s="116" t="s">
        <v>195</v>
      </c>
      <c r="M64" s="116" t="s">
        <v>195</v>
      </c>
      <c r="N64" s="75" t="s">
        <v>195</v>
      </c>
      <c r="O64" s="116" t="s">
        <v>144</v>
      </c>
      <c r="P64" s="100" t="s">
        <v>195</v>
      </c>
      <c r="Q64" s="100" t="s">
        <v>325</v>
      </c>
      <c r="R64" s="100" t="s">
        <v>325</v>
      </c>
      <c r="S64" s="100" t="s">
        <v>195</v>
      </c>
      <c r="T64" s="100" t="s">
        <v>195</v>
      </c>
      <c r="U64" s="77" t="s">
        <v>329</v>
      </c>
      <c r="V64" s="77" t="s">
        <v>195</v>
      </c>
      <c r="W64" s="77" t="s">
        <v>195</v>
      </c>
      <c r="X64" s="77" t="s">
        <v>195</v>
      </c>
      <c r="Y64" s="77" t="s">
        <v>195</v>
      </c>
      <c r="Z64" s="77" t="s">
        <v>195</v>
      </c>
      <c r="AA64" s="77" t="s">
        <v>195</v>
      </c>
      <c r="AB64" s="77" t="s">
        <v>195</v>
      </c>
      <c r="AC64" s="138" t="s">
        <v>195</v>
      </c>
      <c r="AD64" s="142" t="s">
        <v>208</v>
      </c>
      <c r="AE64" s="142" t="s">
        <v>134</v>
      </c>
      <c r="AF64" s="136" t="str">
        <f t="shared" si="45"/>
        <v>ALTO</v>
      </c>
      <c r="AG64" s="77" t="s">
        <v>104</v>
      </c>
      <c r="AH64" s="136" t="str">
        <f t="shared" si="46"/>
        <v>ALTO</v>
      </c>
      <c r="AI64" s="78" t="s">
        <v>113</v>
      </c>
      <c r="AJ64" s="77" t="s">
        <v>120</v>
      </c>
      <c r="AK64" s="136" t="str">
        <f t="shared" si="42"/>
        <v>MEDIO</v>
      </c>
      <c r="AL64" s="80" t="str">
        <f>VLOOKUP($AD64,[10]Tipologías!$B$3:$G$17,2,FALSE)</f>
        <v>ALTO</v>
      </c>
      <c r="AM64" s="80">
        <f t="shared" si="2"/>
        <v>3</v>
      </c>
      <c r="AN64" s="80" t="str">
        <f>VLOOKUP($AE64,[10]Tipologías!$A$21:$C$24,3,FALSE)</f>
        <v>ALTO</v>
      </c>
      <c r="AO64" s="80">
        <f t="shared" si="3"/>
        <v>3</v>
      </c>
      <c r="AP64" s="80">
        <f>VLOOKUP($AI64,[10]Tipologías!$A$38:$B$42,2,FALSE)</f>
        <v>1</v>
      </c>
      <c r="AQ64" s="80">
        <f>VLOOKUP($AJ64,[10]Tipologías!$A$46:$B$53,2,FALSE)</f>
        <v>1.5</v>
      </c>
      <c r="AR64" s="80" t="str">
        <f t="shared" si="47"/>
        <v>ALTO</v>
      </c>
      <c r="AS64" s="80" t="str">
        <f>VLOOKUP($AG64,[10]Tipologías!$A$29:$C$33,3,FALSE)</f>
        <v>ALTO</v>
      </c>
      <c r="AT64" s="80" t="str">
        <f t="shared" si="48"/>
        <v>MEDIO</v>
      </c>
      <c r="AU64" s="80" t="str">
        <f t="shared" si="49"/>
        <v>ALTO</v>
      </c>
      <c r="AV64" s="80" t="str">
        <f>_xlfn.IFNA(VLOOKUP(AD64,[10]Tipologías!$B$3:$G$17,4,0),"")</f>
        <v>INFORMACIÓN PÚBLICA CLASIFICADA</v>
      </c>
      <c r="AW64" s="80" t="str">
        <f t="shared" si="50"/>
        <v>IPC</v>
      </c>
      <c r="AX64" s="80" t="str">
        <f>_xlfn.IFNA(VLOOKUP(AD64,[10]Tipologías!$B$3:$G$17,3,0),"")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4" s="80" t="str">
        <f>_xlfn.IFNA(VLOOKUP(AD64,[10]Tipologías!$B$3:$G$17,5,0),"")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4" s="80" t="str">
        <f>_xlfn.IFNA(VLOOKUP(AD64,[10]Tipologías!$B$3:$G$17,6,0),"")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4" s="148" t="s">
        <v>195</v>
      </c>
      <c r="BB64" s="166">
        <v>45133</v>
      </c>
      <c r="BC64" s="148" t="s">
        <v>195</v>
      </c>
      <c r="BD64" s="146" t="s">
        <v>547</v>
      </c>
      <c r="BE64" s="146" t="s">
        <v>548</v>
      </c>
      <c r="BF64" s="45"/>
      <c r="BG64" s="45"/>
      <c r="BH64" s="45"/>
      <c r="BI64" s="45"/>
      <c r="BJ64" s="45"/>
      <c r="BK64" s="45"/>
      <c r="BL64" s="45"/>
      <c r="BM64" s="45"/>
      <c r="BN64" s="45"/>
      <c r="BO64" s="45"/>
      <c r="BP64" s="45"/>
      <c r="BQ64" s="45"/>
      <c r="BR64" s="45"/>
      <c r="BS64" s="45"/>
      <c r="BT64" s="45"/>
      <c r="BU64" s="45"/>
      <c r="BV64" s="45"/>
      <c r="BW64" s="45"/>
      <c r="BX64" s="45"/>
    </row>
    <row r="65" spans="1:76" s="67" customFormat="1" ht="207.75" customHeight="1" x14ac:dyDescent="0.2">
      <c r="A65" s="76">
        <v>56</v>
      </c>
      <c r="B65" s="107" t="s">
        <v>59</v>
      </c>
      <c r="C65" s="107" t="s">
        <v>303</v>
      </c>
      <c r="D65" s="100" t="s">
        <v>280</v>
      </c>
      <c r="E65" s="100" t="s">
        <v>566</v>
      </c>
      <c r="F65" s="100" t="s">
        <v>567</v>
      </c>
      <c r="G65" s="107" t="s">
        <v>174</v>
      </c>
      <c r="H65" s="100" t="s">
        <v>568</v>
      </c>
      <c r="I65" s="100" t="s">
        <v>568</v>
      </c>
      <c r="J65" s="107" t="s">
        <v>336</v>
      </c>
      <c r="K65" s="100" t="s">
        <v>320</v>
      </c>
      <c r="L65" s="100" t="s">
        <v>321</v>
      </c>
      <c r="M65" s="100" t="s">
        <v>195</v>
      </c>
      <c r="N65" s="100" t="s">
        <v>569</v>
      </c>
      <c r="O65" s="100" t="s">
        <v>151</v>
      </c>
      <c r="P65" s="100" t="s">
        <v>570</v>
      </c>
      <c r="Q65" s="76" t="s">
        <v>195</v>
      </c>
      <c r="R65" s="76" t="s">
        <v>325</v>
      </c>
      <c r="S65" s="100" t="s">
        <v>195</v>
      </c>
      <c r="T65" s="100" t="s">
        <v>195</v>
      </c>
      <c r="U65" s="77" t="s">
        <v>328</v>
      </c>
      <c r="V65" s="77" t="s">
        <v>328</v>
      </c>
      <c r="W65" s="77" t="s">
        <v>328</v>
      </c>
      <c r="X65" s="77" t="s">
        <v>329</v>
      </c>
      <c r="Y65" s="77" t="s">
        <v>329</v>
      </c>
      <c r="Z65" s="77" t="s">
        <v>329</v>
      </c>
      <c r="AA65" s="77" t="s">
        <v>328</v>
      </c>
      <c r="AB65" s="77" t="s">
        <v>328</v>
      </c>
      <c r="AC65" s="138" t="s">
        <v>195</v>
      </c>
      <c r="AD65" s="146" t="s">
        <v>206</v>
      </c>
      <c r="AE65" s="146" t="s">
        <v>134</v>
      </c>
      <c r="AF65" s="136" t="s">
        <v>92</v>
      </c>
      <c r="AG65" s="77" t="s">
        <v>102</v>
      </c>
      <c r="AH65" s="136" t="str">
        <f t="shared" si="46"/>
        <v>MEDIO</v>
      </c>
      <c r="AI65" s="77" t="s">
        <v>113</v>
      </c>
      <c r="AJ65" s="77" t="s">
        <v>121</v>
      </c>
      <c r="AK65" s="136" t="s">
        <v>103</v>
      </c>
      <c r="AL65" s="80" t="s">
        <v>92</v>
      </c>
      <c r="AM65" s="80">
        <v>3</v>
      </c>
      <c r="AN65" s="80" t="s">
        <v>92</v>
      </c>
      <c r="AO65" s="80">
        <v>3</v>
      </c>
      <c r="AP65" s="80">
        <v>1</v>
      </c>
      <c r="AQ65" s="80">
        <v>1.25</v>
      </c>
      <c r="AR65" s="80" t="s">
        <v>92</v>
      </c>
      <c r="AS65" s="80" t="s">
        <v>103</v>
      </c>
      <c r="AT65" s="80" t="s">
        <v>103</v>
      </c>
      <c r="AU65" s="80" t="s">
        <v>103</v>
      </c>
      <c r="AV65" s="80" t="s">
        <v>93</v>
      </c>
      <c r="AW65" s="80" t="s">
        <v>571</v>
      </c>
      <c r="AX65" s="80" t="str">
        <f>_xlfn.IFNA(VLOOKUP(AD65,[10]Tipologías!$B$3:$G$17,3,0),"")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65" s="80" t="str">
        <f>_xlfn.IFNA(VLOOKUP(AD65,[10]Tipologías!$B$3:$G$17,5,0),"")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65" s="80" t="str">
        <f>_xlfn.IFNA(VLOOKUP(AD65,[10]Tipologías!$B$3:$G$17,6,0),"")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65" s="148" t="s">
        <v>197</v>
      </c>
      <c r="BB65" s="166">
        <v>45133</v>
      </c>
      <c r="BC65" s="148" t="s">
        <v>201</v>
      </c>
      <c r="BD65" s="146" t="s">
        <v>572</v>
      </c>
      <c r="BE65" s="146" t="s">
        <v>573</v>
      </c>
      <c r="BF65" s="45"/>
      <c r="BG65" s="45"/>
      <c r="BH65" s="45"/>
      <c r="BI65" s="45"/>
      <c r="BJ65" s="45"/>
      <c r="BK65" s="45"/>
      <c r="BL65" s="45"/>
      <c r="BM65" s="45"/>
      <c r="BN65" s="45"/>
      <c r="BO65" s="45"/>
      <c r="BP65" s="45"/>
      <c r="BQ65" s="45"/>
      <c r="BR65" s="45"/>
      <c r="BS65" s="45"/>
      <c r="BT65" s="45"/>
      <c r="BU65" s="45"/>
      <c r="BV65" s="45"/>
      <c r="BW65" s="45"/>
      <c r="BX65" s="45"/>
    </row>
    <row r="66" spans="1:76" s="68" customFormat="1" ht="207.75" customHeight="1" x14ac:dyDescent="0.2">
      <c r="A66" s="76">
        <v>57</v>
      </c>
      <c r="B66" s="74" t="s">
        <v>59</v>
      </c>
      <c r="C66" s="111" t="s">
        <v>164</v>
      </c>
      <c r="D66" s="100" t="s">
        <v>271</v>
      </c>
      <c r="E66" s="100" t="s">
        <v>395</v>
      </c>
      <c r="F66" s="110" t="s">
        <v>574</v>
      </c>
      <c r="G66" s="74" t="s">
        <v>139</v>
      </c>
      <c r="H66" s="111" t="s">
        <v>575</v>
      </c>
      <c r="I66" s="111" t="s">
        <v>575</v>
      </c>
      <c r="J66" s="152" t="s">
        <v>397</v>
      </c>
      <c r="K66" s="155" t="s">
        <v>320</v>
      </c>
      <c r="L66" s="134" t="s">
        <v>321</v>
      </c>
      <c r="M66" s="111" t="s">
        <v>575</v>
      </c>
      <c r="N66" s="111" t="s">
        <v>195</v>
      </c>
      <c r="O66" s="157" t="s">
        <v>151</v>
      </c>
      <c r="P66" s="157" t="s">
        <v>195</v>
      </c>
      <c r="Q66" s="76" t="s">
        <v>325</v>
      </c>
      <c r="R66" s="76" t="s">
        <v>325</v>
      </c>
      <c r="S66" s="157" t="s">
        <v>195</v>
      </c>
      <c r="T66" s="157" t="s">
        <v>195</v>
      </c>
      <c r="U66" s="77" t="s">
        <v>328</v>
      </c>
      <c r="V66" s="77" t="s">
        <v>328</v>
      </c>
      <c r="W66" s="77" t="s">
        <v>328</v>
      </c>
      <c r="X66" s="77" t="s">
        <v>329</v>
      </c>
      <c r="Y66" s="77" t="s">
        <v>329</v>
      </c>
      <c r="Z66" s="77" t="s">
        <v>329</v>
      </c>
      <c r="AA66" s="77" t="s">
        <v>195</v>
      </c>
      <c r="AB66" s="77" t="s">
        <v>195</v>
      </c>
      <c r="AC66" s="157" t="s">
        <v>195</v>
      </c>
      <c r="AD66" s="142" t="s">
        <v>216</v>
      </c>
      <c r="AE66" s="142" t="s">
        <v>134</v>
      </c>
      <c r="AF66" s="136" t="str">
        <f>AR66</f>
        <v>ALTO</v>
      </c>
      <c r="AG66" s="77" t="s">
        <v>101</v>
      </c>
      <c r="AH66" s="136" t="str">
        <f>_xlfn.IFNA((AS66),"")</f>
        <v>BAJO</v>
      </c>
      <c r="AI66" s="135" t="s">
        <v>114</v>
      </c>
      <c r="AJ66" s="77" t="s">
        <v>121</v>
      </c>
      <c r="AK66" s="136" t="str">
        <f t="shared" ref="AK66:AK74" si="51">_xlfn.IFNA((AT66),"")</f>
        <v>MEDIO</v>
      </c>
      <c r="AL66" s="80" t="str">
        <f>VLOOKUP($AD66,[11]Tipologías!$B$3:$G$17,2,FALSE)</f>
        <v>ALTO</v>
      </c>
      <c r="AM66" s="80">
        <f t="shared" ref="AM66:AM129" si="52">IF(AD66="",0,IF(AL66="Bajo",1,IF(AL66="Medio",2,3)))</f>
        <v>3</v>
      </c>
      <c r="AN66" s="80" t="str">
        <f>VLOOKUP($AE66,[11]Tipologías!$A$21:$C$24,3,FALSE)</f>
        <v>ALTO</v>
      </c>
      <c r="AO66" s="80">
        <f t="shared" ref="AO66:AO129" si="53">IF(AE66="",0,IF(AN66="Bajo",1,IF(AN66="Medio",2,3)))</f>
        <v>3</v>
      </c>
      <c r="AP66" s="80">
        <f>VLOOKUP($AI66,[11]Tipologías!$A$38:$B$42,2,FALSE)</f>
        <v>1.5</v>
      </c>
      <c r="AQ66" s="80">
        <f>VLOOKUP($AJ66,[11]Tipologías!$A$46:$B$53,2,FALSE)</f>
        <v>1.25</v>
      </c>
      <c r="AR66" s="80" t="str">
        <f t="shared" ref="AR66:AR67" si="54">IF(MAX(AM66,AO66)=3,"ALTO",IF(MAX(AM66,AO66)=2,"MEDIO",IF(MAX(AM66,AO66)=1,"BAJO","  ")))</f>
        <v>ALTO</v>
      </c>
      <c r="AS66" s="80" t="str">
        <f>VLOOKUP($AG66,[11]Tipologías!$A$29:$C$33,3,FALSE)</f>
        <v>BAJO</v>
      </c>
      <c r="AT66" s="80" t="str">
        <f t="shared" ref="AT66:AT67" si="55">IF(SUM($AP66,$AQ66)&gt;=3,"ALTO",IF(SUM($AP66,$AQ66)&lt;2,"BAJO","MEDIO"))</f>
        <v>MEDIO</v>
      </c>
      <c r="AU66" s="80" t="str">
        <f t="shared" ref="AU66:AU67" si="56">_xlfn.IFNA(IF(AND(AR66="BAJO",AS66="BAJO",AT66="BAJO"),"BAJO",IF(AND(AR66="ALTO",AS66="ALTO",AT66="ALTO"),"ALTO",IF(COUNTIF(AR66:AT66,"ALTO")=2,"ALTO","MEDIO")))," ")</f>
        <v>MEDIO</v>
      </c>
      <c r="AV66" s="80" t="str">
        <f>_xlfn.IFNA(VLOOKUP(AD66,[11]Tipologías!$B$3:$G$17,4,0),"")</f>
        <v>INFORMACIÓN PÚBLICA RESERVADA</v>
      </c>
      <c r="AW66" s="80" t="str">
        <f t="shared" ref="AW66:AW67" si="57">IF(AV66="INFORMACIÓN PÚBLICA","IPB",IF(AV66="INFORMACIÓN PÚBLICA CLASIFICADA","IPC",IF(AV66="INFORMACIÓN PÚBLICA RESERVADA","IPR",IF(AV66="",""))))</f>
        <v>IPR</v>
      </c>
      <c r="AX66" s="80" t="str">
        <f>_xlfn.IFNA(VLOOKUP(AD66,[11]Tipologías!$B$3:$G$17,3,0),"")</f>
        <v>LEY 1712   DE 2014 ARTÍCULO 19 LITERAL H "LA ESTABILIDAD MACROECONÓMICA Y FINANCIERA DEL PAÍS."</v>
      </c>
      <c r="AY66" s="80" t="str">
        <f>_xlfn.IFNA(VLOOKUP(AD66,[11]Tipologías!$B$3:$G$17,5,0),"")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66" s="80" t="str">
        <f>_xlfn.IFNA(VLOOKUP(AD66,[11]Tipologías!$B$3:$G$17,6,0),"")</f>
        <v xml:space="preserve">LEY 1712 DE 2014 ARTÍCULO 19  </v>
      </c>
      <c r="BA66" s="148" t="s">
        <v>196</v>
      </c>
      <c r="BB66" s="166">
        <v>45133</v>
      </c>
      <c r="BC66" s="148" t="s">
        <v>201</v>
      </c>
      <c r="BD66" s="146" t="s">
        <v>576</v>
      </c>
      <c r="BE66" s="146" t="s">
        <v>577</v>
      </c>
      <c r="BF66" s="45"/>
      <c r="BG66" s="45"/>
      <c r="BH66" s="45"/>
      <c r="BI66" s="45"/>
      <c r="BJ66" s="45"/>
      <c r="BK66" s="45"/>
      <c r="BL66" s="45"/>
      <c r="BM66" s="45"/>
      <c r="BN66" s="45"/>
      <c r="BO66" s="45"/>
      <c r="BP66" s="45"/>
      <c r="BQ66" s="45"/>
      <c r="BR66" s="45"/>
      <c r="BS66" s="45"/>
      <c r="BT66" s="45"/>
      <c r="BU66" s="45"/>
      <c r="BV66" s="45"/>
      <c r="BW66" s="45"/>
      <c r="BX66" s="45"/>
    </row>
    <row r="67" spans="1:76" s="68" customFormat="1" ht="207.75" customHeight="1" x14ac:dyDescent="0.2">
      <c r="A67" s="76">
        <v>58</v>
      </c>
      <c r="B67" s="74" t="s">
        <v>59</v>
      </c>
      <c r="C67" s="132" t="s">
        <v>306</v>
      </c>
      <c r="D67" s="100" t="s">
        <v>271</v>
      </c>
      <c r="E67" s="100" t="s">
        <v>578</v>
      </c>
      <c r="F67" s="110" t="s">
        <v>579</v>
      </c>
      <c r="G67" s="74" t="s">
        <v>205</v>
      </c>
      <c r="H67" s="111" t="s">
        <v>575</v>
      </c>
      <c r="I67" s="133" t="s">
        <v>580</v>
      </c>
      <c r="J67" s="107" t="s">
        <v>336</v>
      </c>
      <c r="K67" s="156" t="s">
        <v>320</v>
      </c>
      <c r="L67" s="139" t="s">
        <v>321</v>
      </c>
      <c r="M67" s="109" t="s">
        <v>195</v>
      </c>
      <c r="N67" s="140" t="s">
        <v>581</v>
      </c>
      <c r="O67" s="109" t="s">
        <v>151</v>
      </c>
      <c r="P67" s="109" t="s">
        <v>540</v>
      </c>
      <c r="Q67" s="113" t="s">
        <v>325</v>
      </c>
      <c r="R67" s="113" t="s">
        <v>325</v>
      </c>
      <c r="S67" s="109" t="s">
        <v>355</v>
      </c>
      <c r="T67" s="115" t="s">
        <v>582</v>
      </c>
      <c r="U67" s="108" t="s">
        <v>328</v>
      </c>
      <c r="V67" s="108" t="s">
        <v>328</v>
      </c>
      <c r="W67" s="108" t="s">
        <v>328</v>
      </c>
      <c r="X67" s="108" t="s">
        <v>329</v>
      </c>
      <c r="Y67" s="108" t="s">
        <v>329</v>
      </c>
      <c r="Z67" s="108" t="s">
        <v>329</v>
      </c>
      <c r="AA67" s="108" t="s">
        <v>195</v>
      </c>
      <c r="AB67" s="108" t="s">
        <v>195</v>
      </c>
      <c r="AC67" s="115" t="s">
        <v>195</v>
      </c>
      <c r="AD67" s="110" t="s">
        <v>89</v>
      </c>
      <c r="AE67" s="110" t="s">
        <v>134</v>
      </c>
      <c r="AF67" s="80" t="str">
        <f>AR67</f>
        <v>ALTO</v>
      </c>
      <c r="AG67" s="108" t="s">
        <v>104</v>
      </c>
      <c r="AH67" s="112" t="str">
        <f>_xlfn.IFNA((AS67),"")</f>
        <v>ALTO</v>
      </c>
      <c r="AI67" s="141" t="s">
        <v>115</v>
      </c>
      <c r="AJ67" s="108" t="s">
        <v>120</v>
      </c>
      <c r="AK67" s="112" t="str">
        <f t="shared" si="51"/>
        <v>ALTO</v>
      </c>
      <c r="AL67" s="80" t="str">
        <f>VLOOKUP($AD67,[12]Tipologías!$B$3:$G$17,2,FALSE)</f>
        <v>BAJO</v>
      </c>
      <c r="AM67" s="80">
        <f t="shared" si="52"/>
        <v>1</v>
      </c>
      <c r="AN67" s="80" t="str">
        <f>VLOOKUP($AE67,[12]Tipologías!$A$21:$C$24,3,FALSE)</f>
        <v>ALTO</v>
      </c>
      <c r="AO67" s="80">
        <f t="shared" si="53"/>
        <v>3</v>
      </c>
      <c r="AP67" s="80">
        <f>VLOOKUP($AI67,[12]Tipologías!$A$38:$B$42,2,FALSE)</f>
        <v>2</v>
      </c>
      <c r="AQ67" s="80">
        <f>VLOOKUP($AJ67,[12]Tipologías!$A$46:$B$53,2,FALSE)</f>
        <v>1.5</v>
      </c>
      <c r="AR67" s="80" t="str">
        <f t="shared" si="54"/>
        <v>ALTO</v>
      </c>
      <c r="AS67" s="80" t="str">
        <f>VLOOKUP($AG67,[12]Tipologías!$A$29:$C$33,3,FALSE)</f>
        <v>ALTO</v>
      </c>
      <c r="AT67" s="80" t="str">
        <f t="shared" si="55"/>
        <v>ALTO</v>
      </c>
      <c r="AU67" s="80" t="str">
        <f t="shared" si="56"/>
        <v>ALTO</v>
      </c>
      <c r="AV67" s="80" t="str">
        <f>_xlfn.IFNA(VLOOKUP(AD67,[12]Tipologías!$B$3:$G$17,4,0),"")</f>
        <v>INFORMACIÓN PÚBLICA</v>
      </c>
      <c r="AW67" s="80" t="str">
        <f t="shared" si="57"/>
        <v>IPB</v>
      </c>
      <c r="AX67" s="80" t="str">
        <f>_xlfn.IFNA(VLOOKUP(AD67,[12]Tipologías!$B$3:$G$17,3,0),"")</f>
        <v>LEY 1712 DE 2014 LEY DE TRANSPARENCIA Y DERECHO DE ACCESO A LA INFORMACIÓN. ARTÍCULO 6 DEFINICIONES LITERAL B.</v>
      </c>
      <c r="AY67" s="80" t="str">
        <f>_xlfn.IFNA(VLOOKUP(AD67,[12]Tipologías!$B$3:$G$17,5,0),"")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7" s="80" t="str">
        <f>_xlfn.IFNA(VLOOKUP(AD67,[12]Tipologías!$B$3:$G$17,6,0),"")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7" s="115" t="s">
        <v>197</v>
      </c>
      <c r="BB67" s="167">
        <v>45133</v>
      </c>
      <c r="BC67" s="148" t="s">
        <v>227</v>
      </c>
      <c r="BD67" s="146" t="s">
        <v>576</v>
      </c>
      <c r="BE67" s="115" t="s">
        <v>577</v>
      </c>
      <c r="BF67" s="45"/>
      <c r="BG67" s="45"/>
      <c r="BH67" s="45"/>
      <c r="BI67" s="45"/>
      <c r="BJ67" s="45"/>
      <c r="BK67" s="45"/>
      <c r="BL67" s="45"/>
      <c r="BM67" s="45"/>
      <c r="BN67" s="45"/>
      <c r="BO67" s="45"/>
      <c r="BP67" s="45"/>
      <c r="BQ67" s="45"/>
      <c r="BR67" s="45"/>
      <c r="BS67" s="45"/>
      <c r="BT67" s="45"/>
      <c r="BU67" s="45"/>
      <c r="BV67" s="45"/>
      <c r="BW67" s="45"/>
      <c r="BX67" s="45"/>
    </row>
    <row r="68" spans="1:76" s="67" customFormat="1" ht="207.75" customHeight="1" x14ac:dyDescent="0.2">
      <c r="A68" s="76">
        <v>59</v>
      </c>
      <c r="B68" s="74" t="s">
        <v>59</v>
      </c>
      <c r="C68" s="74" t="s">
        <v>306</v>
      </c>
      <c r="D68" s="100" t="s">
        <v>237</v>
      </c>
      <c r="E68" s="100" t="s">
        <v>583</v>
      </c>
      <c r="F68" s="75" t="s">
        <v>584</v>
      </c>
      <c r="G68" s="74" t="s">
        <v>205</v>
      </c>
      <c r="H68" s="137" t="s">
        <v>237</v>
      </c>
      <c r="I68" s="111" t="s">
        <v>585</v>
      </c>
      <c r="J68" s="107" t="s">
        <v>319</v>
      </c>
      <c r="K68" s="100" t="s">
        <v>320</v>
      </c>
      <c r="L68" s="100" t="s">
        <v>321</v>
      </c>
      <c r="M68" s="100" t="s">
        <v>586</v>
      </c>
      <c r="N68" s="100" t="s">
        <v>587</v>
      </c>
      <c r="O68" s="100" t="s">
        <v>144</v>
      </c>
      <c r="P68" s="100" t="s">
        <v>588</v>
      </c>
      <c r="Q68" s="76" t="s">
        <v>325</v>
      </c>
      <c r="R68" s="76" t="s">
        <v>325</v>
      </c>
      <c r="S68" s="77" t="s">
        <v>589</v>
      </c>
      <c r="T68" s="77" t="s">
        <v>589</v>
      </c>
      <c r="U68" s="77" t="s">
        <v>328</v>
      </c>
      <c r="V68" s="77" t="s">
        <v>328</v>
      </c>
      <c r="W68" s="77" t="s">
        <v>328</v>
      </c>
      <c r="X68" s="77" t="s">
        <v>329</v>
      </c>
      <c r="Y68" s="77" t="s">
        <v>329</v>
      </c>
      <c r="Z68" s="77" t="s">
        <v>329</v>
      </c>
      <c r="AA68" s="76" t="s">
        <v>195</v>
      </c>
      <c r="AB68" s="76" t="s">
        <v>195</v>
      </c>
      <c r="AC68" s="76" t="s">
        <v>590</v>
      </c>
      <c r="AD68" s="142" t="s">
        <v>89</v>
      </c>
      <c r="AE68" s="142" t="s">
        <v>134</v>
      </c>
      <c r="AF68" s="136" t="str">
        <f t="shared" ref="AF68:AF74" si="58">AR68</f>
        <v>ALTO</v>
      </c>
      <c r="AG68" s="77" t="s">
        <v>102</v>
      </c>
      <c r="AH68" s="136" t="str">
        <f t="shared" ref="AH68:AH74" si="59">_xlfn.IFNA((AS68),"")</f>
        <v>MEDIO</v>
      </c>
      <c r="AI68" s="78" t="s">
        <v>115</v>
      </c>
      <c r="AJ68" s="77" t="s">
        <v>117</v>
      </c>
      <c r="AK68" s="136" t="str">
        <f t="shared" si="51"/>
        <v>ALTO</v>
      </c>
      <c r="AL68" s="80" t="str">
        <f>VLOOKUP($AD68,[13]Tipologías!$B$3:$G$17,2,FALSE)</f>
        <v>BAJO</v>
      </c>
      <c r="AM68" s="80">
        <f t="shared" si="52"/>
        <v>1</v>
      </c>
      <c r="AN68" s="80" t="str">
        <f>VLOOKUP($AE68,[13]Tipologías!$A$21:$C$24,3,FALSE)</f>
        <v>ALTO</v>
      </c>
      <c r="AO68" s="80">
        <f t="shared" si="53"/>
        <v>3</v>
      </c>
      <c r="AP68" s="80">
        <f>VLOOKUP($AI68,[13]Tipologías!$A$38:$B$42,2,FALSE)</f>
        <v>2</v>
      </c>
      <c r="AQ68" s="80">
        <f>VLOOKUP($AJ68,[13]Tipologías!$A$46:$B$53,2,FALSE)</f>
        <v>2.5</v>
      </c>
      <c r="AR68" s="80" t="str">
        <f>IF(MAX(AM68,AO68)=3,"ALTO",IF(MAX(AM68,AO68)=2,"MEDIO",IF(MAX(AM68,AO68)=1,"BAJO","  ")))</f>
        <v>ALTO</v>
      </c>
      <c r="AS68" s="80" t="str">
        <f>VLOOKUP($AG68,[13]Tipologías!$A$29:$C$33,3,FALSE)</f>
        <v>MEDIO</v>
      </c>
      <c r="AT68" s="80" t="str">
        <f>IF(SUM($AP68,$AQ68)&gt;=3,"ALTO",IF(SUM($AP68,$AQ68)&lt;2,"BAJO","MEDIO"))</f>
        <v>ALTO</v>
      </c>
      <c r="AU68" s="80" t="str">
        <f>_xlfn.IFNA(IF(AND(AR68="BAJO",AS68="BAJO",AT68="BAJO"),"BAJO",IF(AND(AR68="ALTO",AS68="ALTO",AT68="ALTO"),"ALTO",IF(COUNTIF(AR68:AT68,"ALTO")=2,"ALTO","MEDIO")))," ")</f>
        <v>ALTO</v>
      </c>
      <c r="AV68" s="80" t="str">
        <f>_xlfn.IFNA(VLOOKUP(AD68,[13]Tipologías!$B$3:$G$17,4,0),"")</f>
        <v>INFORMACIÓN PÚBLICA</v>
      </c>
      <c r="AW68" s="80" t="str">
        <f>IF(AV68="INFORMACIÓN PÚBLICA","IPB",IF(AV68="INFORMACIÓN PÚBLICA CLASIFICADA","IPC",IF(AV68="INFORMACIÓN PÚBLICA RESERVADA","IPR",IF(AV68="",""))))</f>
        <v>IPB</v>
      </c>
      <c r="AX68" s="80" t="str">
        <f>_xlfn.IFNA(VLOOKUP(AD68,[13]Tipologías!$B$3:$G$17,3,0),"")</f>
        <v>LEY 1712 DE 2014 LEY DE TRANSPARENCIA Y DERECHO DE ACCESO A LA INFORMACIÓN. ARTÍCULO 6 DEFINICIONES LITERAL B.</v>
      </c>
      <c r="AY68" s="80" t="str">
        <f>_xlfn.IFNA(VLOOKUP(AD68,[13]Tipologías!$B$3:$G$17,5,0),"")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8" s="80" t="str">
        <f>_xlfn.IFNA(VLOOKUP(AD68,[13]Tipologías!$B$3:$G$17,6,0),"")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8" s="148" t="s">
        <v>197</v>
      </c>
      <c r="BB68" s="166">
        <v>45133</v>
      </c>
      <c r="BC68" s="148" t="s">
        <v>224</v>
      </c>
      <c r="BD68" s="146" t="s">
        <v>591</v>
      </c>
      <c r="BE68" s="146" t="s">
        <v>592</v>
      </c>
      <c r="BF68" s="45"/>
      <c r="BG68" s="45"/>
      <c r="BH68" s="45"/>
      <c r="BI68" s="45"/>
      <c r="BJ68" s="45"/>
      <c r="BK68" s="45"/>
      <c r="BL68" s="45"/>
      <c r="BM68" s="45"/>
      <c r="BN68" s="45"/>
      <c r="BO68" s="45"/>
      <c r="BP68" s="45"/>
      <c r="BQ68" s="45"/>
      <c r="BR68" s="45"/>
      <c r="BS68" s="45"/>
      <c r="BT68" s="45"/>
      <c r="BU68" s="45"/>
      <c r="BV68" s="45"/>
      <c r="BW68" s="45"/>
      <c r="BX68" s="45"/>
    </row>
    <row r="69" spans="1:76" s="67" customFormat="1" ht="207.75" customHeight="1" x14ac:dyDescent="0.2">
      <c r="A69" s="76">
        <v>60</v>
      </c>
      <c r="B69" s="74" t="s">
        <v>59</v>
      </c>
      <c r="C69" s="74" t="s">
        <v>306</v>
      </c>
      <c r="D69" s="100" t="s">
        <v>237</v>
      </c>
      <c r="E69" s="100" t="s">
        <v>593</v>
      </c>
      <c r="F69" s="111" t="s">
        <v>594</v>
      </c>
      <c r="G69" s="74" t="s">
        <v>205</v>
      </c>
      <c r="H69" s="137" t="s">
        <v>237</v>
      </c>
      <c r="I69" s="137" t="s">
        <v>237</v>
      </c>
      <c r="J69" s="107" t="s">
        <v>336</v>
      </c>
      <c r="K69" s="100" t="s">
        <v>320</v>
      </c>
      <c r="L69" s="111" t="s">
        <v>321</v>
      </c>
      <c r="M69" s="100" t="s">
        <v>195</v>
      </c>
      <c r="N69" s="111" t="s">
        <v>595</v>
      </c>
      <c r="O69" s="100" t="s">
        <v>144</v>
      </c>
      <c r="P69" s="100" t="s">
        <v>596</v>
      </c>
      <c r="Q69" s="76" t="s">
        <v>325</v>
      </c>
      <c r="R69" s="76" t="s">
        <v>325</v>
      </c>
      <c r="S69" s="77" t="s">
        <v>195</v>
      </c>
      <c r="T69" s="77" t="s">
        <v>590</v>
      </c>
      <c r="U69" s="77" t="s">
        <v>328</v>
      </c>
      <c r="V69" s="77" t="s">
        <v>328</v>
      </c>
      <c r="W69" s="77" t="s">
        <v>328</v>
      </c>
      <c r="X69" s="77" t="s">
        <v>329</v>
      </c>
      <c r="Y69" s="77" t="s">
        <v>329</v>
      </c>
      <c r="Z69" s="77" t="s">
        <v>329</v>
      </c>
      <c r="AA69" s="77" t="s">
        <v>195</v>
      </c>
      <c r="AB69" s="77" t="s">
        <v>195</v>
      </c>
      <c r="AC69" s="76" t="s">
        <v>590</v>
      </c>
      <c r="AD69" s="142" t="s">
        <v>89</v>
      </c>
      <c r="AE69" s="142" t="s">
        <v>134</v>
      </c>
      <c r="AF69" s="136" t="str">
        <f t="shared" si="58"/>
        <v>ALTO</v>
      </c>
      <c r="AG69" s="77" t="s">
        <v>102</v>
      </c>
      <c r="AH69" s="136" t="str">
        <f t="shared" si="59"/>
        <v>MEDIO</v>
      </c>
      <c r="AI69" s="78" t="s">
        <v>111</v>
      </c>
      <c r="AJ69" s="77" t="s">
        <v>117</v>
      </c>
      <c r="AK69" s="136" t="str">
        <f t="shared" si="51"/>
        <v>ALTO</v>
      </c>
      <c r="AL69" s="80" t="str">
        <f>VLOOKUP($AD69,[13]Tipologías!$B$3:$G$17,2,FALSE)</f>
        <v>BAJO</v>
      </c>
      <c r="AM69" s="80">
        <f t="shared" si="52"/>
        <v>1</v>
      </c>
      <c r="AN69" s="80" t="str">
        <f>VLOOKUP($AE69,[13]Tipologías!$A$21:$C$24,3,FALSE)</f>
        <v>ALTO</v>
      </c>
      <c r="AO69" s="80">
        <f t="shared" si="53"/>
        <v>3</v>
      </c>
      <c r="AP69" s="80">
        <f>VLOOKUP($AI69,[13]Tipologías!$A$38:$B$42,2,FALSE)</f>
        <v>0.5</v>
      </c>
      <c r="AQ69" s="80">
        <f>VLOOKUP($AJ69,[13]Tipologías!$A$46:$B$53,2,FALSE)</f>
        <v>2.5</v>
      </c>
      <c r="AR69" s="80" t="str">
        <f t="shared" ref="AR69:AR74" si="60">IF(MAX(AM69,AO69)=3,"ALTO",IF(MAX(AM69,AO69)=2,"MEDIO",IF(MAX(AM69,AO69)=1,"BAJO","  ")))</f>
        <v>ALTO</v>
      </c>
      <c r="AS69" s="80" t="str">
        <f>VLOOKUP($AG69,[13]Tipologías!$A$29:$C$33,3,FALSE)</f>
        <v>MEDIO</v>
      </c>
      <c r="AT69" s="80" t="str">
        <f t="shared" ref="AT69:AT74" si="61">IF(SUM($AP69,$AQ69)&gt;=3,"ALTO",IF(SUM($AP69,$AQ69)&lt;2,"BAJO","MEDIO"))</f>
        <v>ALTO</v>
      </c>
      <c r="AU69" s="80" t="str">
        <f t="shared" ref="AU69:AU74" si="62">_xlfn.IFNA(IF(AND(AR69="BAJO",AS69="BAJO",AT69="BAJO"),"BAJO",IF(AND(AR69="ALTO",AS69="ALTO",AT69="ALTO"),"ALTO",IF(COUNTIF(AR69:AT69,"ALTO")=2,"ALTO","MEDIO")))," ")</f>
        <v>ALTO</v>
      </c>
      <c r="AV69" s="80" t="str">
        <f>_xlfn.IFNA(VLOOKUP(AD69,[13]Tipologías!$B$3:$G$17,4,0),"")</f>
        <v>INFORMACIÓN PÚBLICA</v>
      </c>
      <c r="AW69" s="80" t="str">
        <f t="shared" ref="AW69:AW74" si="63">IF(AV69="INFORMACIÓN PÚBLICA","IPB",IF(AV69="INFORMACIÓN PÚBLICA CLASIFICADA","IPC",IF(AV69="INFORMACIÓN PÚBLICA RESERVADA","IPR",IF(AV69="",""))))</f>
        <v>IPB</v>
      </c>
      <c r="AX69" s="80" t="str">
        <f>_xlfn.IFNA(VLOOKUP(AD69,[13]Tipologías!$B$3:$G$17,3,0),"")</f>
        <v>LEY 1712 DE 2014 LEY DE TRANSPARENCIA Y DERECHO DE ACCESO A LA INFORMACIÓN. ARTÍCULO 6 DEFINICIONES LITERAL B.</v>
      </c>
      <c r="AY69" s="80" t="str">
        <f>_xlfn.IFNA(VLOOKUP(AD69,[13]Tipologías!$B$3:$G$17,5,0),"")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69" s="80" t="str">
        <f>_xlfn.IFNA(VLOOKUP(AD69,[13]Tipologías!$B$3:$G$17,6,0),"")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69" s="148" t="s">
        <v>197</v>
      </c>
      <c r="BB69" s="166">
        <v>45133</v>
      </c>
      <c r="BC69" s="148" t="s">
        <v>201</v>
      </c>
      <c r="BD69" s="146" t="s">
        <v>591</v>
      </c>
      <c r="BE69" s="146" t="s">
        <v>592</v>
      </c>
      <c r="BF69" s="45"/>
      <c r="BG69" s="45"/>
      <c r="BH69" s="45"/>
      <c r="BI69" s="45"/>
      <c r="BJ69" s="45"/>
      <c r="BK69" s="45"/>
      <c r="BL69" s="45"/>
      <c r="BM69" s="45"/>
      <c r="BN69" s="45"/>
      <c r="BO69" s="45"/>
      <c r="BP69" s="45"/>
      <c r="BQ69" s="45"/>
      <c r="BR69" s="45"/>
      <c r="BS69" s="45"/>
      <c r="BT69" s="45"/>
      <c r="BU69" s="45"/>
      <c r="BV69" s="45"/>
      <c r="BW69" s="45"/>
      <c r="BX69" s="45"/>
    </row>
    <row r="70" spans="1:76" s="67" customFormat="1" ht="207.75" customHeight="1" x14ac:dyDescent="0.2">
      <c r="A70" s="76">
        <v>61</v>
      </c>
      <c r="B70" s="74" t="s">
        <v>59</v>
      </c>
      <c r="C70" s="74" t="s">
        <v>306</v>
      </c>
      <c r="D70" s="100" t="s">
        <v>237</v>
      </c>
      <c r="E70" s="100" t="s">
        <v>597</v>
      </c>
      <c r="F70" s="111" t="s">
        <v>598</v>
      </c>
      <c r="G70" s="74" t="s">
        <v>205</v>
      </c>
      <c r="H70" s="137" t="s">
        <v>237</v>
      </c>
      <c r="I70" s="137" t="s">
        <v>237</v>
      </c>
      <c r="J70" s="107" t="s">
        <v>336</v>
      </c>
      <c r="K70" s="100" t="s">
        <v>320</v>
      </c>
      <c r="L70" s="111" t="s">
        <v>321</v>
      </c>
      <c r="M70" s="100" t="s">
        <v>590</v>
      </c>
      <c r="N70" s="111" t="s">
        <v>595</v>
      </c>
      <c r="O70" s="100" t="s">
        <v>151</v>
      </c>
      <c r="P70" s="100" t="s">
        <v>596</v>
      </c>
      <c r="Q70" s="76" t="s">
        <v>325</v>
      </c>
      <c r="R70" s="76" t="s">
        <v>325</v>
      </c>
      <c r="S70" s="77" t="s">
        <v>195</v>
      </c>
      <c r="T70" s="77" t="s">
        <v>590</v>
      </c>
      <c r="U70" s="77" t="s">
        <v>328</v>
      </c>
      <c r="V70" s="77" t="s">
        <v>328</v>
      </c>
      <c r="W70" s="77" t="s">
        <v>329</v>
      </c>
      <c r="X70" s="77" t="s">
        <v>329</v>
      </c>
      <c r="Y70" s="77" t="s">
        <v>329</v>
      </c>
      <c r="Z70" s="77" t="s">
        <v>329</v>
      </c>
      <c r="AA70" s="77" t="s">
        <v>195</v>
      </c>
      <c r="AB70" s="77" t="s">
        <v>195</v>
      </c>
      <c r="AC70" s="76" t="s">
        <v>590</v>
      </c>
      <c r="AD70" s="142" t="s">
        <v>89</v>
      </c>
      <c r="AE70" s="142" t="s">
        <v>134</v>
      </c>
      <c r="AF70" s="136" t="str">
        <f t="shared" si="58"/>
        <v>ALTO</v>
      </c>
      <c r="AG70" s="77" t="s">
        <v>102</v>
      </c>
      <c r="AH70" s="136" t="str">
        <f t="shared" si="59"/>
        <v>MEDIO</v>
      </c>
      <c r="AI70" s="78" t="s">
        <v>115</v>
      </c>
      <c r="AJ70" s="77" t="s">
        <v>123</v>
      </c>
      <c r="AK70" s="136" t="str">
        <f t="shared" si="51"/>
        <v>MEDIO</v>
      </c>
      <c r="AL70" s="80" t="str">
        <f>VLOOKUP($AD70,[13]Tipologías!$B$3:$G$17,2,FALSE)</f>
        <v>BAJO</v>
      </c>
      <c r="AM70" s="80">
        <f t="shared" si="52"/>
        <v>1</v>
      </c>
      <c r="AN70" s="80" t="str">
        <f>VLOOKUP($AE70,[13]Tipologías!$A$21:$C$24,3,FALSE)</f>
        <v>ALTO</v>
      </c>
      <c r="AO70" s="80">
        <f t="shared" si="53"/>
        <v>3</v>
      </c>
      <c r="AP70" s="80">
        <f>VLOOKUP($AI70,[13]Tipologías!$A$38:$B$42,2,FALSE)</f>
        <v>2</v>
      </c>
      <c r="AQ70" s="80">
        <f>VLOOKUP($AJ70,[13]Tipologías!$A$46:$B$53,2,FALSE)</f>
        <v>0.5</v>
      </c>
      <c r="AR70" s="80" t="str">
        <f t="shared" si="60"/>
        <v>ALTO</v>
      </c>
      <c r="AS70" s="80" t="str">
        <f>VLOOKUP($AG70,[13]Tipologías!$A$29:$C$33,3,FALSE)</f>
        <v>MEDIO</v>
      </c>
      <c r="AT70" s="80" t="str">
        <f t="shared" si="61"/>
        <v>MEDIO</v>
      </c>
      <c r="AU70" s="80" t="str">
        <f t="shared" si="62"/>
        <v>MEDIO</v>
      </c>
      <c r="AV70" s="80" t="str">
        <f>_xlfn.IFNA(VLOOKUP(AD70,[13]Tipologías!$B$3:$G$17,4,0),"")</f>
        <v>INFORMACIÓN PÚBLICA</v>
      </c>
      <c r="AW70" s="80" t="str">
        <f t="shared" si="63"/>
        <v>IPB</v>
      </c>
      <c r="AX70" s="80" t="str">
        <f>_xlfn.IFNA(VLOOKUP(AD70,[13]Tipologías!$B$3:$G$17,3,0),"")</f>
        <v>LEY 1712 DE 2014 LEY DE TRANSPARENCIA Y DERECHO DE ACCESO A LA INFORMACIÓN. ARTÍCULO 6 DEFINICIONES LITERAL B.</v>
      </c>
      <c r="AY70" s="80" t="str">
        <f>_xlfn.IFNA(VLOOKUP(AD70,[13]Tipologías!$B$3:$G$17,5,0),"")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0" s="80" t="str">
        <f>_xlfn.IFNA(VLOOKUP(AD70,[13]Tipologías!$B$3:$G$17,6,0),"")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0" s="148" t="s">
        <v>198</v>
      </c>
      <c r="BB70" s="166">
        <v>45133</v>
      </c>
      <c r="BC70" s="148" t="s">
        <v>195</v>
      </c>
      <c r="BD70" s="146" t="s">
        <v>599</v>
      </c>
      <c r="BE70" s="146" t="s">
        <v>592</v>
      </c>
      <c r="BF70" s="45"/>
      <c r="BG70" s="45"/>
      <c r="BH70" s="45"/>
      <c r="BI70" s="45"/>
      <c r="BJ70" s="45"/>
      <c r="BK70" s="45"/>
      <c r="BL70" s="45"/>
      <c r="BM70" s="45"/>
      <c r="BN70" s="45"/>
      <c r="BO70" s="45"/>
      <c r="BP70" s="45"/>
      <c r="BQ70" s="45"/>
      <c r="BR70" s="45"/>
      <c r="BS70" s="45"/>
      <c r="BT70" s="45"/>
      <c r="BU70" s="45"/>
      <c r="BV70" s="45"/>
      <c r="BW70" s="45"/>
      <c r="BX70" s="45"/>
    </row>
    <row r="71" spans="1:76" s="67" customFormat="1" ht="207.75" customHeight="1" x14ac:dyDescent="0.2">
      <c r="A71" s="76">
        <v>62</v>
      </c>
      <c r="B71" s="132" t="s">
        <v>59</v>
      </c>
      <c r="C71" s="132" t="s">
        <v>306</v>
      </c>
      <c r="D71" s="100" t="s">
        <v>237</v>
      </c>
      <c r="E71" s="100" t="s">
        <v>600</v>
      </c>
      <c r="F71" s="111" t="s">
        <v>601</v>
      </c>
      <c r="G71" s="132" t="s">
        <v>141</v>
      </c>
      <c r="H71" s="137" t="s">
        <v>237</v>
      </c>
      <c r="I71" s="143" t="s">
        <v>602</v>
      </c>
      <c r="J71" s="153" t="s">
        <v>336</v>
      </c>
      <c r="K71" s="100" t="s">
        <v>320</v>
      </c>
      <c r="L71" s="111" t="s">
        <v>362</v>
      </c>
      <c r="M71" s="100" t="s">
        <v>590</v>
      </c>
      <c r="N71" s="111" t="s">
        <v>603</v>
      </c>
      <c r="O71" s="100" t="s">
        <v>146</v>
      </c>
      <c r="P71" s="100" t="s">
        <v>604</v>
      </c>
      <c r="Q71" s="76" t="s">
        <v>325</v>
      </c>
      <c r="R71" s="76" t="s">
        <v>325</v>
      </c>
      <c r="S71" s="77" t="s">
        <v>195</v>
      </c>
      <c r="T71" s="77" t="s">
        <v>590</v>
      </c>
      <c r="U71" s="77" t="s">
        <v>329</v>
      </c>
      <c r="V71" s="77" t="s">
        <v>195</v>
      </c>
      <c r="W71" s="77" t="s">
        <v>195</v>
      </c>
      <c r="X71" s="77" t="s">
        <v>195</v>
      </c>
      <c r="Y71" s="77" t="s">
        <v>195</v>
      </c>
      <c r="Z71" s="77" t="s">
        <v>195</v>
      </c>
      <c r="AA71" s="77" t="s">
        <v>195</v>
      </c>
      <c r="AB71" s="77" t="s">
        <v>195</v>
      </c>
      <c r="AC71" s="77" t="s">
        <v>195</v>
      </c>
      <c r="AD71" s="142" t="s">
        <v>89</v>
      </c>
      <c r="AE71" s="142" t="s">
        <v>130</v>
      </c>
      <c r="AF71" s="136" t="str">
        <f t="shared" si="58"/>
        <v>BAJO</v>
      </c>
      <c r="AG71" s="77" t="s">
        <v>102</v>
      </c>
      <c r="AH71" s="136" t="str">
        <f t="shared" si="59"/>
        <v>MEDIO</v>
      </c>
      <c r="AI71" s="78" t="s">
        <v>114</v>
      </c>
      <c r="AJ71" s="77" t="s">
        <v>119</v>
      </c>
      <c r="AK71" s="136" t="str">
        <f t="shared" si="51"/>
        <v>ALTO</v>
      </c>
      <c r="AL71" s="144" t="str">
        <f>VLOOKUP($AD71,[13]Tipologías!$B$3:$G$17,2,FALSE)</f>
        <v>BAJO</v>
      </c>
      <c r="AM71" s="144">
        <f t="shared" si="52"/>
        <v>1</v>
      </c>
      <c r="AN71" s="144" t="str">
        <f>VLOOKUP($AE71,[13]Tipologías!$A$21:$C$24,3,FALSE)</f>
        <v>BAJO</v>
      </c>
      <c r="AO71" s="144">
        <f t="shared" si="53"/>
        <v>1</v>
      </c>
      <c r="AP71" s="144">
        <f>VLOOKUP($AI71,[13]Tipologías!$A$38:$B$42,2,FALSE)</f>
        <v>1.5</v>
      </c>
      <c r="AQ71" s="144">
        <f>VLOOKUP($AJ71,[13]Tipologías!$A$46:$B$53,2,FALSE)</f>
        <v>2</v>
      </c>
      <c r="AR71" s="144" t="str">
        <f t="shared" si="60"/>
        <v>BAJO</v>
      </c>
      <c r="AS71" s="144" t="str">
        <f>VLOOKUP($AG71,[13]Tipologías!$A$29:$C$33,3,FALSE)</f>
        <v>MEDIO</v>
      </c>
      <c r="AT71" s="144" t="str">
        <f t="shared" si="61"/>
        <v>ALTO</v>
      </c>
      <c r="AU71" s="144" t="str">
        <f t="shared" si="62"/>
        <v>MEDIO</v>
      </c>
      <c r="AV71" s="144" t="str">
        <f>_xlfn.IFNA(VLOOKUP(AD71,[13]Tipologías!$B$3:$G$17,4,0),"")</f>
        <v>INFORMACIÓN PÚBLICA</v>
      </c>
      <c r="AW71" s="144" t="str">
        <f t="shared" si="63"/>
        <v>IPB</v>
      </c>
      <c r="AX71" s="144" t="str">
        <f>_xlfn.IFNA(VLOOKUP(AD71,[13]Tipologías!$B$3:$G$17,3,0),"")</f>
        <v>LEY 1712 DE 2014 LEY DE TRANSPARENCIA Y DERECHO DE ACCESO A LA INFORMACIÓN. ARTÍCULO 6 DEFINICIONES LITERAL B.</v>
      </c>
      <c r="AY71" s="144" t="str">
        <f>_xlfn.IFNA(VLOOKUP(AD71,[13]Tipologías!$B$3:$G$17,5,0),"")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1" s="144" t="str">
        <f>_xlfn.IFNA(VLOOKUP(AD71,[13]Tipologías!$B$3:$G$17,6,0),"")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1" s="148" t="s">
        <v>198</v>
      </c>
      <c r="BB71" s="166">
        <v>45133</v>
      </c>
      <c r="BC71" s="148" t="s">
        <v>195</v>
      </c>
      <c r="BD71" s="146" t="s">
        <v>605</v>
      </c>
      <c r="BE71" s="146" t="s">
        <v>592</v>
      </c>
      <c r="BF71" s="45"/>
      <c r="BG71" s="45"/>
      <c r="BH71" s="45"/>
      <c r="BI71" s="45"/>
      <c r="BJ71" s="45"/>
      <c r="BK71" s="45"/>
      <c r="BL71" s="45"/>
      <c r="BM71" s="45"/>
      <c r="BN71" s="45"/>
      <c r="BO71" s="45"/>
      <c r="BP71" s="45"/>
      <c r="BQ71" s="45"/>
      <c r="BR71" s="45"/>
      <c r="BS71" s="45"/>
      <c r="BT71" s="45"/>
      <c r="BU71" s="45"/>
      <c r="BV71" s="45"/>
      <c r="BW71" s="45"/>
      <c r="BX71" s="45"/>
    </row>
    <row r="72" spans="1:76" s="67" customFormat="1" ht="207.75" customHeight="1" x14ac:dyDescent="0.2">
      <c r="A72" s="76">
        <v>63</v>
      </c>
      <c r="B72" s="132" t="s">
        <v>59</v>
      </c>
      <c r="C72" s="132" t="s">
        <v>306</v>
      </c>
      <c r="D72" s="100" t="s">
        <v>237</v>
      </c>
      <c r="E72" s="100" t="s">
        <v>606</v>
      </c>
      <c r="F72" s="111" t="s">
        <v>607</v>
      </c>
      <c r="G72" s="132" t="s">
        <v>141</v>
      </c>
      <c r="H72" s="137" t="s">
        <v>237</v>
      </c>
      <c r="I72" s="111" t="s">
        <v>284</v>
      </c>
      <c r="J72" s="153" t="s">
        <v>336</v>
      </c>
      <c r="K72" s="100" t="s">
        <v>320</v>
      </c>
      <c r="L72" s="111" t="s">
        <v>321</v>
      </c>
      <c r="M72" s="100" t="s">
        <v>590</v>
      </c>
      <c r="N72" s="111" t="s">
        <v>608</v>
      </c>
      <c r="O72" s="100" t="s">
        <v>150</v>
      </c>
      <c r="P72" s="100" t="s">
        <v>604</v>
      </c>
      <c r="Q72" s="76" t="s">
        <v>325</v>
      </c>
      <c r="R72" s="76" t="s">
        <v>325</v>
      </c>
      <c r="S72" s="77" t="s">
        <v>195</v>
      </c>
      <c r="T72" s="77" t="s">
        <v>590</v>
      </c>
      <c r="U72" s="77" t="s">
        <v>329</v>
      </c>
      <c r="V72" s="77" t="s">
        <v>195</v>
      </c>
      <c r="W72" s="77" t="s">
        <v>195</v>
      </c>
      <c r="X72" s="77" t="s">
        <v>195</v>
      </c>
      <c r="Y72" s="77" t="s">
        <v>195</v>
      </c>
      <c r="Z72" s="77" t="s">
        <v>195</v>
      </c>
      <c r="AA72" s="77" t="s">
        <v>195</v>
      </c>
      <c r="AB72" s="77" t="s">
        <v>195</v>
      </c>
      <c r="AC72" s="77" t="s">
        <v>195</v>
      </c>
      <c r="AD72" s="142" t="s">
        <v>208</v>
      </c>
      <c r="AE72" s="142" t="s">
        <v>134</v>
      </c>
      <c r="AF72" s="136" t="str">
        <f t="shared" si="58"/>
        <v>ALTO</v>
      </c>
      <c r="AG72" s="77" t="s">
        <v>101</v>
      </c>
      <c r="AH72" s="136" t="str">
        <f t="shared" si="59"/>
        <v>BAJO</v>
      </c>
      <c r="AI72" s="78" t="s">
        <v>114</v>
      </c>
      <c r="AJ72" s="77" t="s">
        <v>119</v>
      </c>
      <c r="AK72" s="136" t="str">
        <f t="shared" si="51"/>
        <v>ALTO</v>
      </c>
      <c r="AL72" s="144" t="str">
        <f>VLOOKUP($AD72,[13]Tipologías!$B$3:$G$17,2,FALSE)</f>
        <v>ALTO</v>
      </c>
      <c r="AM72" s="144">
        <f t="shared" si="52"/>
        <v>3</v>
      </c>
      <c r="AN72" s="144" t="str">
        <f>VLOOKUP($AE72,[13]Tipologías!$A$21:$C$24,3,FALSE)</f>
        <v>ALTO</v>
      </c>
      <c r="AO72" s="144">
        <f t="shared" si="53"/>
        <v>3</v>
      </c>
      <c r="AP72" s="144">
        <f>VLOOKUP($AI72,[13]Tipologías!$A$38:$B$42,2,FALSE)</f>
        <v>1.5</v>
      </c>
      <c r="AQ72" s="144">
        <f>VLOOKUP($AJ72,[13]Tipologías!$A$46:$B$53,2,FALSE)</f>
        <v>2</v>
      </c>
      <c r="AR72" s="144" t="str">
        <f t="shared" si="60"/>
        <v>ALTO</v>
      </c>
      <c r="AS72" s="144" t="str">
        <f>VLOOKUP($AG72,[13]Tipologías!$A$29:$C$33,3,FALSE)</f>
        <v>BAJO</v>
      </c>
      <c r="AT72" s="144" t="str">
        <f t="shared" si="61"/>
        <v>ALTO</v>
      </c>
      <c r="AU72" s="144" t="str">
        <f t="shared" si="62"/>
        <v>ALTO</v>
      </c>
      <c r="AV72" s="144" t="str">
        <f>_xlfn.IFNA(VLOOKUP(AD72,[13]Tipologías!$B$3:$G$17,4,0),"")</f>
        <v>INFORMACIÓN PÚBLICA CLASIFICADA</v>
      </c>
      <c r="AW72" s="144" t="str">
        <f t="shared" si="63"/>
        <v>IPC</v>
      </c>
      <c r="AX72" s="144" t="str">
        <f>_xlfn.IFNA(VLOOKUP(AD72,[13]Tipologías!$B$3:$G$17,3,0),"")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2" s="144" t="str">
        <f>_xlfn.IFNA(VLOOKUP(AD72,[13]Tipologías!$B$3:$G$17,5,0),"")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2" s="144" t="str">
        <f>_xlfn.IFNA(VLOOKUP(AD72,[13]Tipologías!$B$3:$G$17,6,0),"")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2" s="148" t="s">
        <v>198</v>
      </c>
      <c r="BB72" s="166">
        <v>45133</v>
      </c>
      <c r="BC72" s="148" t="s">
        <v>195</v>
      </c>
      <c r="BD72" s="146" t="s">
        <v>605</v>
      </c>
      <c r="BE72" s="146" t="s">
        <v>592</v>
      </c>
      <c r="BF72" s="45"/>
      <c r="BG72" s="45"/>
      <c r="BH72" s="45"/>
      <c r="BI72" s="45"/>
      <c r="BJ72" s="45"/>
      <c r="BK72" s="45"/>
      <c r="BL72" s="45"/>
      <c r="BM72" s="45"/>
      <c r="BN72" s="45"/>
      <c r="BO72" s="45"/>
      <c r="BP72" s="45"/>
      <c r="BQ72" s="45"/>
      <c r="BR72" s="45"/>
      <c r="BS72" s="45"/>
      <c r="BT72" s="45"/>
      <c r="BU72" s="45"/>
      <c r="BV72" s="45"/>
      <c r="BW72" s="45"/>
      <c r="BX72" s="45"/>
    </row>
    <row r="73" spans="1:76" s="67" customFormat="1" ht="207.75" customHeight="1" x14ac:dyDescent="0.2">
      <c r="A73" s="76">
        <v>64</v>
      </c>
      <c r="B73" s="74" t="s">
        <v>59</v>
      </c>
      <c r="C73" s="74" t="s">
        <v>306</v>
      </c>
      <c r="D73" s="109" t="s">
        <v>237</v>
      </c>
      <c r="E73" s="109" t="s">
        <v>609</v>
      </c>
      <c r="F73" s="140" t="s">
        <v>610</v>
      </c>
      <c r="G73" s="74" t="s">
        <v>205</v>
      </c>
      <c r="H73" s="145" t="s">
        <v>237</v>
      </c>
      <c r="I73" s="143" t="s">
        <v>611</v>
      </c>
      <c r="J73" s="107" t="s">
        <v>319</v>
      </c>
      <c r="K73" s="109" t="s">
        <v>320</v>
      </c>
      <c r="L73" s="140" t="s">
        <v>321</v>
      </c>
      <c r="M73" s="140" t="s">
        <v>586</v>
      </c>
      <c r="N73" s="140" t="s">
        <v>612</v>
      </c>
      <c r="O73" s="109" t="s">
        <v>151</v>
      </c>
      <c r="P73" s="109" t="s">
        <v>604</v>
      </c>
      <c r="Q73" s="113" t="s">
        <v>325</v>
      </c>
      <c r="R73" s="113" t="s">
        <v>325</v>
      </c>
      <c r="S73" s="108" t="s">
        <v>613</v>
      </c>
      <c r="T73" s="108" t="s">
        <v>614</v>
      </c>
      <c r="U73" s="108" t="s">
        <v>328</v>
      </c>
      <c r="V73" s="108" t="s">
        <v>328</v>
      </c>
      <c r="W73" s="108" t="s">
        <v>328</v>
      </c>
      <c r="X73" s="108" t="s">
        <v>328</v>
      </c>
      <c r="Y73" s="108" t="s">
        <v>329</v>
      </c>
      <c r="Z73" s="108" t="s">
        <v>329</v>
      </c>
      <c r="AA73" s="108" t="s">
        <v>329</v>
      </c>
      <c r="AB73" s="108" t="s">
        <v>329</v>
      </c>
      <c r="AC73" s="108" t="s">
        <v>195</v>
      </c>
      <c r="AD73" s="110" t="s">
        <v>208</v>
      </c>
      <c r="AE73" s="110" t="s">
        <v>134</v>
      </c>
      <c r="AF73" s="112" t="str">
        <f t="shared" si="58"/>
        <v>ALTO</v>
      </c>
      <c r="AG73" s="108" t="s">
        <v>102</v>
      </c>
      <c r="AH73" s="112" t="str">
        <f t="shared" si="59"/>
        <v>MEDIO</v>
      </c>
      <c r="AI73" s="141" t="s">
        <v>113</v>
      </c>
      <c r="AJ73" s="108" t="s">
        <v>121</v>
      </c>
      <c r="AK73" s="112" t="str">
        <f t="shared" si="51"/>
        <v>MEDIO</v>
      </c>
      <c r="AL73" s="80" t="str">
        <f>VLOOKUP($AD73,[13]Tipologías!$B$3:$G$17,2,FALSE)</f>
        <v>ALTO</v>
      </c>
      <c r="AM73" s="80">
        <f t="shared" si="52"/>
        <v>3</v>
      </c>
      <c r="AN73" s="80" t="str">
        <f>VLOOKUP($AE73,[13]Tipologías!$A$21:$C$24,3,FALSE)</f>
        <v>ALTO</v>
      </c>
      <c r="AO73" s="80">
        <f t="shared" si="53"/>
        <v>3</v>
      </c>
      <c r="AP73" s="80">
        <f>VLOOKUP($AI73,[13]Tipologías!$A$38:$B$42,2,FALSE)</f>
        <v>1</v>
      </c>
      <c r="AQ73" s="80">
        <f>VLOOKUP($AJ73,[13]Tipologías!$A$46:$B$53,2,FALSE)</f>
        <v>1.25</v>
      </c>
      <c r="AR73" s="80" t="str">
        <f t="shared" si="60"/>
        <v>ALTO</v>
      </c>
      <c r="AS73" s="80" t="str">
        <f>VLOOKUP($AG73,[13]Tipologías!$A$29:$C$33,3,FALSE)</f>
        <v>MEDIO</v>
      </c>
      <c r="AT73" s="80" t="str">
        <f t="shared" si="61"/>
        <v>MEDIO</v>
      </c>
      <c r="AU73" s="80" t="str">
        <f t="shared" si="62"/>
        <v>MEDIO</v>
      </c>
      <c r="AV73" s="80" t="str">
        <f>_xlfn.IFNA(VLOOKUP(AD73,[13]Tipologías!$B$3:$G$17,4,0),"")</f>
        <v>INFORMACIÓN PÚBLICA CLASIFICADA</v>
      </c>
      <c r="AW73" s="80" t="str">
        <f t="shared" si="63"/>
        <v>IPC</v>
      </c>
      <c r="AX73" s="80" t="str">
        <f>_xlfn.IFNA(VLOOKUP(AD73,[13]Tipologías!$B$3:$G$17,3,0),"")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3" s="80" t="str">
        <f>_xlfn.IFNA(VLOOKUP(AD73,[13]Tipologías!$B$3:$G$17,5,0),"")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3" s="80" t="str">
        <f>_xlfn.IFNA(VLOOKUP(AD73,[13]Tipologías!$B$3:$G$17,6,0),"")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3" s="150" t="s">
        <v>197</v>
      </c>
      <c r="BB73" s="167">
        <v>45133</v>
      </c>
      <c r="BC73" s="150" t="s">
        <v>227</v>
      </c>
      <c r="BD73" s="115" t="s">
        <v>615</v>
      </c>
      <c r="BE73" s="115" t="s">
        <v>592</v>
      </c>
      <c r="BF73" s="45"/>
      <c r="BG73" s="45"/>
      <c r="BH73" s="45"/>
      <c r="BI73" s="45"/>
      <c r="BJ73" s="45"/>
      <c r="BK73" s="45"/>
      <c r="BL73" s="45"/>
      <c r="BM73" s="45"/>
      <c r="BN73" s="45"/>
      <c r="BO73" s="45"/>
      <c r="BP73" s="45"/>
      <c r="BQ73" s="45"/>
      <c r="BR73" s="45"/>
      <c r="BS73" s="45"/>
      <c r="BT73" s="45"/>
      <c r="BU73" s="45"/>
      <c r="BV73" s="45"/>
      <c r="BW73" s="45"/>
      <c r="BX73" s="45"/>
    </row>
    <row r="74" spans="1:76" s="67" customFormat="1" ht="207.75" customHeight="1" x14ac:dyDescent="0.2">
      <c r="A74" s="76">
        <v>65</v>
      </c>
      <c r="B74" s="74" t="s">
        <v>59</v>
      </c>
      <c r="C74" s="74" t="s">
        <v>306</v>
      </c>
      <c r="D74" s="109" t="s">
        <v>237</v>
      </c>
      <c r="E74" s="109" t="s">
        <v>616</v>
      </c>
      <c r="F74" s="140" t="s">
        <v>617</v>
      </c>
      <c r="G74" s="74" t="s">
        <v>139</v>
      </c>
      <c r="H74" s="145" t="s">
        <v>237</v>
      </c>
      <c r="I74" s="145" t="s">
        <v>237</v>
      </c>
      <c r="J74" s="107" t="s">
        <v>397</v>
      </c>
      <c r="K74" s="109" t="s">
        <v>320</v>
      </c>
      <c r="L74" s="140" t="s">
        <v>321</v>
      </c>
      <c r="M74" s="140" t="s">
        <v>237</v>
      </c>
      <c r="N74" s="140" t="s">
        <v>195</v>
      </c>
      <c r="O74" s="109" t="s">
        <v>151</v>
      </c>
      <c r="P74" s="109" t="s">
        <v>195</v>
      </c>
      <c r="Q74" s="113" t="s">
        <v>325</v>
      </c>
      <c r="R74" s="113" t="s">
        <v>325</v>
      </c>
      <c r="S74" s="108" t="s">
        <v>195</v>
      </c>
      <c r="T74" s="108" t="s">
        <v>590</v>
      </c>
      <c r="U74" s="108" t="s">
        <v>328</v>
      </c>
      <c r="V74" s="108" t="s">
        <v>328</v>
      </c>
      <c r="W74" s="108" t="s">
        <v>328</v>
      </c>
      <c r="X74" s="108" t="s">
        <v>329</v>
      </c>
      <c r="Y74" s="108" t="s">
        <v>329</v>
      </c>
      <c r="Z74" s="108" t="s">
        <v>329</v>
      </c>
      <c r="AA74" s="108" t="s">
        <v>195</v>
      </c>
      <c r="AB74" s="108" t="s">
        <v>195</v>
      </c>
      <c r="AC74" s="108" t="s">
        <v>195</v>
      </c>
      <c r="AD74" s="110" t="s">
        <v>216</v>
      </c>
      <c r="AE74" s="110" t="s">
        <v>134</v>
      </c>
      <c r="AF74" s="112" t="str">
        <f t="shared" si="58"/>
        <v>ALTO</v>
      </c>
      <c r="AG74" s="108" t="s">
        <v>101</v>
      </c>
      <c r="AH74" s="112" t="str">
        <f t="shared" si="59"/>
        <v>BAJO</v>
      </c>
      <c r="AI74" s="141" t="s">
        <v>114</v>
      </c>
      <c r="AJ74" s="108" t="s">
        <v>121</v>
      </c>
      <c r="AK74" s="112" t="str">
        <f t="shared" si="51"/>
        <v>MEDIO</v>
      </c>
      <c r="AL74" s="80" t="str">
        <f>VLOOKUP($AD74,[13]Tipologías!$B$3:$G$17,2,FALSE)</f>
        <v>ALTO</v>
      </c>
      <c r="AM74" s="80">
        <f t="shared" si="52"/>
        <v>3</v>
      </c>
      <c r="AN74" s="80" t="str">
        <f>VLOOKUP($AE74,[13]Tipologías!$A$21:$C$24,3,FALSE)</f>
        <v>ALTO</v>
      </c>
      <c r="AO74" s="80">
        <f t="shared" si="53"/>
        <v>3</v>
      </c>
      <c r="AP74" s="80">
        <f>VLOOKUP($AI74,[13]Tipologías!$A$38:$B$42,2,FALSE)</f>
        <v>1.5</v>
      </c>
      <c r="AQ74" s="80">
        <f>VLOOKUP($AJ74,[13]Tipologías!$A$46:$B$53,2,FALSE)</f>
        <v>1.25</v>
      </c>
      <c r="AR74" s="80" t="str">
        <f t="shared" si="60"/>
        <v>ALTO</v>
      </c>
      <c r="AS74" s="80" t="str">
        <f>VLOOKUP($AG74,[13]Tipologías!$A$29:$C$33,3,FALSE)</f>
        <v>BAJO</v>
      </c>
      <c r="AT74" s="80" t="str">
        <f t="shared" si="61"/>
        <v>MEDIO</v>
      </c>
      <c r="AU74" s="80" t="str">
        <f t="shared" si="62"/>
        <v>MEDIO</v>
      </c>
      <c r="AV74" s="80" t="str">
        <f>_xlfn.IFNA(VLOOKUP(AD74,[13]Tipologías!$B$3:$G$17,4,0),"")</f>
        <v>INFORMACIÓN PÚBLICA RESERVADA</v>
      </c>
      <c r="AW74" s="80" t="str">
        <f t="shared" si="63"/>
        <v>IPR</v>
      </c>
      <c r="AX74" s="80" t="str">
        <f>_xlfn.IFNA(VLOOKUP(AD74,[13]Tipologías!$B$3:$G$17,3,0),"")</f>
        <v>LEY 1712   DE 2014 ARTÍCULO 19 LITERAL H "LA ESTABILIDAD MACROECONÓMICA Y FINANCIERA DEL PAÍS."</v>
      </c>
      <c r="AY74" s="80" t="str">
        <f>_xlfn.IFNA(VLOOKUP(AD74,[13]Tipologías!$B$3:$G$17,5,0),"")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74" s="80" t="str">
        <f>_xlfn.IFNA(VLOOKUP(AD74,[13]Tipologías!$B$3:$G$17,6,0),"")</f>
        <v xml:space="preserve">LEY 1712 DE 2014 ARTÍCULO 19  </v>
      </c>
      <c r="BA74" s="150" t="s">
        <v>196</v>
      </c>
      <c r="BB74" s="167">
        <v>45133</v>
      </c>
      <c r="BC74" s="150" t="s">
        <v>201</v>
      </c>
      <c r="BD74" s="115" t="s">
        <v>615</v>
      </c>
      <c r="BE74" s="115" t="s">
        <v>592</v>
      </c>
      <c r="BF74" s="45"/>
      <c r="BG74" s="45"/>
      <c r="BH74" s="45"/>
      <c r="BI74" s="45"/>
      <c r="BJ74" s="45"/>
      <c r="BK74" s="45"/>
      <c r="BL74" s="45"/>
      <c r="BM74" s="45"/>
      <c r="BN74" s="45"/>
      <c r="BO74" s="45"/>
      <c r="BP74" s="45"/>
      <c r="BQ74" s="45"/>
      <c r="BR74" s="45"/>
      <c r="BS74" s="45"/>
      <c r="BT74" s="45"/>
      <c r="BU74" s="45"/>
      <c r="BV74" s="45"/>
      <c r="BW74" s="45"/>
      <c r="BX74" s="45"/>
    </row>
    <row r="75" spans="1:76" s="67" customFormat="1" ht="207.75" customHeight="1" x14ac:dyDescent="0.2">
      <c r="A75" s="76">
        <v>66</v>
      </c>
      <c r="B75" s="110" t="s">
        <v>59</v>
      </c>
      <c r="C75" s="110" t="s">
        <v>302</v>
      </c>
      <c r="D75" s="100" t="s">
        <v>78</v>
      </c>
      <c r="E75" s="100" t="s">
        <v>618</v>
      </c>
      <c r="F75" s="111" t="s">
        <v>619</v>
      </c>
      <c r="G75" s="110" t="s">
        <v>174</v>
      </c>
      <c r="H75" s="111" t="s">
        <v>620</v>
      </c>
      <c r="I75" s="111" t="s">
        <v>620</v>
      </c>
      <c r="J75" s="115" t="s">
        <v>336</v>
      </c>
      <c r="K75" s="100" t="s">
        <v>320</v>
      </c>
      <c r="L75" s="100" t="s">
        <v>321</v>
      </c>
      <c r="M75" s="100" t="s">
        <v>195</v>
      </c>
      <c r="N75" s="100" t="s">
        <v>621</v>
      </c>
      <c r="O75" s="100" t="s">
        <v>151</v>
      </c>
      <c r="P75" s="100" t="s">
        <v>622</v>
      </c>
      <c r="Q75" s="148" t="s">
        <v>195</v>
      </c>
      <c r="R75" s="148" t="s">
        <v>325</v>
      </c>
      <c r="S75" s="100" t="s">
        <v>348</v>
      </c>
      <c r="T75" s="100" t="s">
        <v>623</v>
      </c>
      <c r="U75" s="146" t="s">
        <v>328</v>
      </c>
      <c r="V75" s="146" t="s">
        <v>328</v>
      </c>
      <c r="W75" s="146" t="s">
        <v>328</v>
      </c>
      <c r="X75" s="146" t="s">
        <v>329</v>
      </c>
      <c r="Y75" s="146" t="s">
        <v>329</v>
      </c>
      <c r="Z75" s="146" t="s">
        <v>329</v>
      </c>
      <c r="AA75" s="146" t="s">
        <v>329</v>
      </c>
      <c r="AB75" s="146" t="s">
        <v>329</v>
      </c>
      <c r="AC75" s="160" t="s">
        <v>195</v>
      </c>
      <c r="AD75" s="142" t="s">
        <v>206</v>
      </c>
      <c r="AE75" s="142" t="s">
        <v>134</v>
      </c>
      <c r="AF75" s="144" t="str">
        <f>AR75</f>
        <v>ALTO</v>
      </c>
      <c r="AG75" s="146" t="s">
        <v>102</v>
      </c>
      <c r="AH75" s="144" t="str">
        <f>_xlfn.IFNA((AS75),"")</f>
        <v>MEDIO</v>
      </c>
      <c r="AI75" s="142" t="s">
        <v>109</v>
      </c>
      <c r="AJ75" s="146" t="s">
        <v>124</v>
      </c>
      <c r="AK75" s="144" t="str">
        <f>_xlfn.IFNA((AT75),"")</f>
        <v>BAJO</v>
      </c>
      <c r="AL75" s="80" t="str">
        <f>VLOOKUP($AD75,[14]Tipologías!$B$3:$G$17,2,FALSE)</f>
        <v>ALTO</v>
      </c>
      <c r="AM75" s="80">
        <f t="shared" si="52"/>
        <v>3</v>
      </c>
      <c r="AN75" s="80" t="str">
        <f>VLOOKUP($AE75,[14]Tipologías!$A$21:$C$24,3,FALSE)</f>
        <v>ALTO</v>
      </c>
      <c r="AO75" s="80">
        <f t="shared" si="53"/>
        <v>3</v>
      </c>
      <c r="AP75" s="80">
        <f>VLOOKUP($AI75,[14]Tipologías!$A$38:$B$42,2,FALSE)</f>
        <v>0</v>
      </c>
      <c r="AQ75" s="80">
        <f>VLOOKUP($AJ75,[14]Tipologías!$A$46:$B$53,2,FALSE)</f>
        <v>0.25</v>
      </c>
      <c r="AR75" s="80" t="str">
        <f>IF(MAX(AM75,AO75)=3,"ALTO",IF(MAX(AM75,AO75)=2,"MEDIO",IF(MAX(AM75,AO75)=1,"BAJO","  ")))</f>
        <v>ALTO</v>
      </c>
      <c r="AS75" s="80" t="str">
        <f>VLOOKUP($AG75,[14]Tipologías!$A$29:$C$33,3,FALSE)</f>
        <v>MEDIO</v>
      </c>
      <c r="AT75" s="80" t="str">
        <f>IF(SUM($AP75,$AQ75)&gt;=3,"ALTO",IF(SUM($AP75,$AQ75)&lt;2,"BAJO","MEDIO"))</f>
        <v>BAJO</v>
      </c>
      <c r="AU75" s="80" t="str">
        <f>_xlfn.IFNA(IF(AND(AR75="BAJO",AS75="BAJO",AT75="BAJO"),"BAJO",IF(AND(AR75="ALTO",AS75="ALTO",AT75="ALTO"),"ALTO",IF(COUNTIF(AR75:AT75,"ALTO")=2,"ALTO","MEDIO")))," ")</f>
        <v>MEDIO</v>
      </c>
      <c r="AV75" s="80" t="str">
        <f>_xlfn.IFNA(VLOOKUP(AD75,[14]Tipologías!$B$3:$G$17,4,0),"")</f>
        <v>INFORMACIÓN PÚBLICA CLASIFICADA</v>
      </c>
      <c r="AW75" s="80" t="str">
        <f>IF(AV75="INFORMACIÓN PÚBLICA","IPB",IF(AV75="INFORMACIÓN PÚBLICA CLASIFICADA","IPC",IF(AV75="INFORMACIÓN PÚBLICA RESERVADA","IPR",IF(AV75="",""))))</f>
        <v>IPC</v>
      </c>
      <c r="AX75" s="80" t="str">
        <f>_xlfn.IFNA(VLOOKUP(AD75,[14]Tipologías!$B$3:$G$17,3,0),"")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5" s="80" t="str">
        <f>_xlfn.IFNA(VLOOKUP(AD75,[14]Tipologías!$B$3:$G$17,5,0),"")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5" s="80" t="str">
        <f>_xlfn.IFNA(VLOOKUP(AD75,[14]Tipologías!$B$3:$G$17,6,0),"")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5" s="148" t="s">
        <v>197</v>
      </c>
      <c r="BB75" s="166">
        <v>45133</v>
      </c>
      <c r="BC75" s="148" t="s">
        <v>223</v>
      </c>
      <c r="BD75" s="146" t="s">
        <v>624</v>
      </c>
      <c r="BE75" s="146" t="s">
        <v>625</v>
      </c>
      <c r="BF75" s="45"/>
      <c r="BG75" s="45"/>
      <c r="BH75" s="45"/>
      <c r="BI75" s="45"/>
      <c r="BJ75" s="45"/>
      <c r="BK75" s="45"/>
      <c r="BL75" s="45"/>
      <c r="BM75" s="45"/>
      <c r="BN75" s="45"/>
      <c r="BO75" s="45"/>
      <c r="BP75" s="45"/>
      <c r="BQ75" s="45"/>
      <c r="BR75" s="45"/>
      <c r="BS75" s="45"/>
      <c r="BT75" s="45"/>
      <c r="BU75" s="45"/>
      <c r="BV75" s="45"/>
      <c r="BW75" s="45"/>
      <c r="BX75" s="45"/>
    </row>
    <row r="76" spans="1:76" s="67" customFormat="1" ht="207.75" customHeight="1" x14ac:dyDescent="0.2">
      <c r="A76" s="76">
        <v>67</v>
      </c>
      <c r="B76" s="110" t="s">
        <v>59</v>
      </c>
      <c r="C76" s="110" t="s">
        <v>302</v>
      </c>
      <c r="D76" s="100" t="s">
        <v>78</v>
      </c>
      <c r="E76" s="100" t="s">
        <v>626</v>
      </c>
      <c r="F76" s="110" t="s">
        <v>627</v>
      </c>
      <c r="G76" s="110" t="s">
        <v>141</v>
      </c>
      <c r="H76" s="111" t="s">
        <v>620</v>
      </c>
      <c r="I76" s="111" t="s">
        <v>628</v>
      </c>
      <c r="J76" s="115" t="s">
        <v>336</v>
      </c>
      <c r="K76" s="100" t="s">
        <v>320</v>
      </c>
      <c r="L76" s="100" t="s">
        <v>362</v>
      </c>
      <c r="M76" s="100" t="s">
        <v>195</v>
      </c>
      <c r="N76" s="100" t="s">
        <v>629</v>
      </c>
      <c r="O76" s="100" t="s">
        <v>151</v>
      </c>
      <c r="P76" s="100" t="s">
        <v>630</v>
      </c>
      <c r="Q76" s="148" t="s">
        <v>325</v>
      </c>
      <c r="R76" s="148" t="s">
        <v>325</v>
      </c>
      <c r="S76" s="100" t="s">
        <v>195</v>
      </c>
      <c r="T76" s="100" t="s">
        <v>195</v>
      </c>
      <c r="U76" s="146" t="s">
        <v>329</v>
      </c>
      <c r="V76" s="146" t="s">
        <v>195</v>
      </c>
      <c r="W76" s="146" t="s">
        <v>195</v>
      </c>
      <c r="X76" s="146" t="s">
        <v>195</v>
      </c>
      <c r="Y76" s="146" t="s">
        <v>195</v>
      </c>
      <c r="Z76" s="146" t="s">
        <v>195</v>
      </c>
      <c r="AA76" s="146" t="s">
        <v>195</v>
      </c>
      <c r="AB76" s="146" t="s">
        <v>195</v>
      </c>
      <c r="AC76" s="160" t="s">
        <v>195</v>
      </c>
      <c r="AD76" s="142" t="s">
        <v>89</v>
      </c>
      <c r="AE76" s="142" t="s">
        <v>130</v>
      </c>
      <c r="AF76" s="144" t="str">
        <f>AR76</f>
        <v>BAJO</v>
      </c>
      <c r="AG76" s="146" t="s">
        <v>104</v>
      </c>
      <c r="AH76" s="144" t="str">
        <f>_xlfn.IFNA((AS76),"")</f>
        <v>ALTO</v>
      </c>
      <c r="AI76" s="142" t="s">
        <v>114</v>
      </c>
      <c r="AJ76" s="146" t="s">
        <v>121</v>
      </c>
      <c r="AK76" s="144" t="str">
        <f>_xlfn.IFNA((AT76),"")</f>
        <v>MEDIO</v>
      </c>
      <c r="AL76" s="80" t="str">
        <f>VLOOKUP($AD76,[14]Tipologías!$B$3:$G$17,2,FALSE)</f>
        <v>BAJO</v>
      </c>
      <c r="AM76" s="80">
        <f t="shared" si="52"/>
        <v>1</v>
      </c>
      <c r="AN76" s="80" t="str">
        <f>VLOOKUP($AE76,[14]Tipologías!$A$21:$C$24,3,FALSE)</f>
        <v>BAJO</v>
      </c>
      <c r="AO76" s="80">
        <f t="shared" si="53"/>
        <v>1</v>
      </c>
      <c r="AP76" s="80">
        <f>VLOOKUP($AI76,[14]Tipologías!$A$38:$B$42,2,FALSE)</f>
        <v>1.5</v>
      </c>
      <c r="AQ76" s="80">
        <f>VLOOKUP($AJ76,[14]Tipologías!$A$46:$B$53,2,FALSE)</f>
        <v>1.25</v>
      </c>
      <c r="AR76" s="80" t="str">
        <f>IF(MAX(AM76,AO76)=3,"ALTO",IF(MAX(AM76,AO76)=2,"MEDIO",IF(MAX(AM76,AO76)=1,"BAJO","  ")))</f>
        <v>BAJO</v>
      </c>
      <c r="AS76" s="80" t="str">
        <f>VLOOKUP($AG76,[14]Tipologías!$A$29:$C$33,3,FALSE)</f>
        <v>ALTO</v>
      </c>
      <c r="AT76" s="80" t="str">
        <f>IF(SUM($AP76,$AQ76)&gt;=3,"ALTO",IF(SUM($AP76,$AQ76)&lt;2,"BAJO","MEDIO"))</f>
        <v>MEDIO</v>
      </c>
      <c r="AU76" s="80" t="str">
        <f>_xlfn.IFNA(IF(AND(AR76="BAJO",AS76="BAJO",AT76="BAJO"),"BAJO",IF(AND(AR76="ALTO",AS76="ALTO",AT76="ALTO"),"ALTO",IF(COUNTIF(AR76:AT76,"ALTO")=2,"ALTO","MEDIO")))," ")</f>
        <v>MEDIO</v>
      </c>
      <c r="AV76" s="80" t="str">
        <f>_xlfn.IFNA(VLOOKUP(AD76,[14]Tipologías!$B$3:$G$17,4,0),"")</f>
        <v>INFORMACIÓN PÚBLICA</v>
      </c>
      <c r="AW76" s="80" t="str">
        <f>IF(AV76="INFORMACIÓN PÚBLICA","IPB",IF(AV76="INFORMACIÓN PÚBLICA CLASIFICADA","IPC",IF(AV76="INFORMACIÓN PÚBLICA RESERVADA","IPR",IF(AV76="",""))))</f>
        <v>IPB</v>
      </c>
      <c r="AX76" s="80" t="str">
        <f>_xlfn.IFNA(VLOOKUP(AD76,[14]Tipologías!$B$3:$G$17,3,0),"")</f>
        <v>LEY 1712 DE 2014 LEY DE TRANSPARENCIA Y DERECHO DE ACCESO A LA INFORMACIÓN. ARTÍCULO 6 DEFINICIONES LITERAL B.</v>
      </c>
      <c r="AY76" s="80" t="str">
        <f>_xlfn.IFNA(VLOOKUP(AD76,[14]Tipologías!$B$3:$G$17,5,0),"")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76" s="80" t="str">
        <f>_xlfn.IFNA(VLOOKUP(AD76,[14]Tipologías!$B$3:$G$17,6,0),"")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76" s="148" t="s">
        <v>195</v>
      </c>
      <c r="BB76" s="166">
        <v>45133</v>
      </c>
      <c r="BC76" s="148" t="s">
        <v>195</v>
      </c>
      <c r="BD76" s="146" t="s">
        <v>631</v>
      </c>
      <c r="BE76" s="146" t="s">
        <v>625</v>
      </c>
      <c r="BF76" s="45"/>
      <c r="BG76" s="45"/>
      <c r="BH76" s="45"/>
      <c r="BI76" s="45"/>
      <c r="BJ76" s="45"/>
      <c r="BK76" s="45"/>
      <c r="BL76" s="45"/>
      <c r="BM76" s="45"/>
      <c r="BN76" s="45"/>
      <c r="BO76" s="45"/>
      <c r="BP76" s="45"/>
      <c r="BQ76" s="45"/>
      <c r="BR76" s="45"/>
      <c r="BS76" s="45"/>
      <c r="BT76" s="45"/>
      <c r="BU76" s="45"/>
      <c r="BV76" s="45"/>
      <c r="BW76" s="45"/>
      <c r="BX76" s="45"/>
    </row>
    <row r="77" spans="1:76" s="67" customFormat="1" ht="207.75" customHeight="1" x14ac:dyDescent="0.2">
      <c r="A77" s="76">
        <v>68</v>
      </c>
      <c r="B77" s="110" t="s">
        <v>59</v>
      </c>
      <c r="C77" s="110" t="s">
        <v>302</v>
      </c>
      <c r="D77" s="100" t="s">
        <v>78</v>
      </c>
      <c r="E77" s="109" t="s">
        <v>632</v>
      </c>
      <c r="F77" s="111" t="s">
        <v>633</v>
      </c>
      <c r="G77" s="110" t="s">
        <v>205</v>
      </c>
      <c r="H77" s="111" t="s">
        <v>620</v>
      </c>
      <c r="I77" s="111" t="s">
        <v>634</v>
      </c>
      <c r="J77" s="115" t="s">
        <v>336</v>
      </c>
      <c r="K77" s="100" t="s">
        <v>320</v>
      </c>
      <c r="L77" s="111" t="s">
        <v>321</v>
      </c>
      <c r="M77" s="100" t="s">
        <v>195</v>
      </c>
      <c r="N77" s="100" t="s">
        <v>621</v>
      </c>
      <c r="O77" s="100" t="s">
        <v>151</v>
      </c>
      <c r="P77" s="100" t="s">
        <v>540</v>
      </c>
      <c r="Q77" s="148"/>
      <c r="R77" s="148" t="s">
        <v>325</v>
      </c>
      <c r="S77" s="100" t="s">
        <v>348</v>
      </c>
      <c r="T77" s="100" t="s">
        <v>635</v>
      </c>
      <c r="U77" s="146" t="s">
        <v>328</v>
      </c>
      <c r="V77" s="146" t="s">
        <v>328</v>
      </c>
      <c r="W77" s="146" t="s">
        <v>328</v>
      </c>
      <c r="X77" s="146" t="s">
        <v>329</v>
      </c>
      <c r="Y77" s="146" t="s">
        <v>328</v>
      </c>
      <c r="Z77" s="146" t="s">
        <v>328</v>
      </c>
      <c r="AA77" s="146" t="s">
        <v>328</v>
      </c>
      <c r="AB77" s="146" t="s">
        <v>328</v>
      </c>
      <c r="AC77" s="160" t="s">
        <v>195</v>
      </c>
      <c r="AD77" s="142" t="s">
        <v>206</v>
      </c>
      <c r="AE77" s="142" t="s">
        <v>134</v>
      </c>
      <c r="AF77" s="144" t="str">
        <f t="shared" ref="AF77:AF88" si="64">AR77</f>
        <v>ALTO</v>
      </c>
      <c r="AG77" s="146" t="s">
        <v>102</v>
      </c>
      <c r="AH77" s="144" t="str">
        <f t="shared" ref="AH77:AH88" si="65">_xlfn.IFNA((AS77),"")</f>
        <v>MEDIO</v>
      </c>
      <c r="AI77" s="142" t="s">
        <v>111</v>
      </c>
      <c r="AJ77" s="146" t="s">
        <v>120</v>
      </c>
      <c r="AK77" s="144" t="str">
        <f t="shared" ref="AK77:AK88" si="66">_xlfn.IFNA((AT77),"")</f>
        <v>MEDIO</v>
      </c>
      <c r="AL77" s="80" t="str">
        <f>VLOOKUP($AD77,[14]Tipologías!$B$3:$G$17,2,FALSE)</f>
        <v>ALTO</v>
      </c>
      <c r="AM77" s="80">
        <f t="shared" si="52"/>
        <v>3</v>
      </c>
      <c r="AN77" s="80" t="str">
        <f>VLOOKUP($AE77,[14]Tipologías!$A$21:$C$24,3,FALSE)</f>
        <v>ALTO</v>
      </c>
      <c r="AO77" s="80">
        <f t="shared" si="53"/>
        <v>3</v>
      </c>
      <c r="AP77" s="80">
        <f>VLOOKUP($AI77,[14]Tipologías!$A$38:$B$42,2,FALSE)</f>
        <v>0.5</v>
      </c>
      <c r="AQ77" s="80">
        <f>VLOOKUP($AJ77,[14]Tipologías!$A$46:$B$53,2,FALSE)</f>
        <v>1.5</v>
      </c>
      <c r="AR77" s="80" t="str">
        <f>IF(MAX(AM77,AO77)=3,"ALTO",IF(MAX(AM77,AO77)=2,"MEDIO",IF(MAX(AM77,AO77)=1,"BAJO","  ")))</f>
        <v>ALTO</v>
      </c>
      <c r="AS77" s="80" t="str">
        <f>VLOOKUP($AG77,[14]Tipologías!$A$29:$C$33,3,FALSE)</f>
        <v>MEDIO</v>
      </c>
      <c r="AT77" s="80" t="str">
        <f>IF(SUM($AP77,$AQ77)&gt;=3,"ALTO",IF(SUM($AP77,$AQ77)&lt;2,"BAJO","MEDIO"))</f>
        <v>MEDIO</v>
      </c>
      <c r="AU77" s="80" t="str">
        <f>_xlfn.IFNA(IF(AND(AR77="BAJO",AS77="BAJO",AT77="BAJO"),"BAJO",IF(AND(AR77="ALTO",AS77="ALTO",AT77="ALTO"),"ALTO",IF(COUNTIF(AR77:AT77,"ALTO")=2,"ALTO","MEDIO")))," ")</f>
        <v>MEDIO</v>
      </c>
      <c r="AV77" s="147" t="str">
        <f>_xlfn.IFNA(VLOOKUP(AD77,[14]Tipologías!$B$3:$G$17,4,0),"")</f>
        <v>INFORMACIÓN PÚBLICA CLASIFICADA</v>
      </c>
      <c r="AW77" s="80" t="str">
        <f>IF(AV77="INFORMACIÓN PÚBLICA","IPB",IF(AV77="INFORMACIÓN PÚBLICA CLASIFICADA","IPC",IF(AV77="INFORMACIÓN PÚBLICA RESERVADA","IPR",IF(AV77="",""))))</f>
        <v>IPC</v>
      </c>
      <c r="AX77" s="147" t="str">
        <f>_xlfn.IFNA(VLOOKUP(AD77,[14]Tipologías!$B$3:$G$17,3,0),"")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7" s="147" t="str">
        <f>_xlfn.IFNA(VLOOKUP(AD77,[14]Tipologías!$B$3:$G$17,5,0),"")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7" s="80" t="str">
        <f>_xlfn.IFNA(VLOOKUP(AD77,[14]Tipologías!$B$3:$G$17,6,0),"")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7" s="148" t="s">
        <v>197</v>
      </c>
      <c r="BB77" s="166">
        <v>45133</v>
      </c>
      <c r="BC77" s="148" t="s">
        <v>229</v>
      </c>
      <c r="BD77" s="146" t="s">
        <v>636</v>
      </c>
      <c r="BE77" s="146" t="s">
        <v>625</v>
      </c>
      <c r="BF77" s="45"/>
      <c r="BG77" s="45"/>
      <c r="BH77" s="45"/>
      <c r="BI77" s="45"/>
      <c r="BJ77" s="45"/>
      <c r="BK77" s="45"/>
      <c r="BL77" s="45"/>
      <c r="BM77" s="45"/>
      <c r="BN77" s="45"/>
      <c r="BO77" s="45"/>
      <c r="BP77" s="45"/>
      <c r="BQ77" s="45"/>
      <c r="BR77" s="45"/>
      <c r="BS77" s="45"/>
      <c r="BT77" s="45"/>
      <c r="BU77" s="45"/>
      <c r="BV77" s="45"/>
      <c r="BW77" s="45"/>
      <c r="BX77" s="45"/>
    </row>
    <row r="78" spans="1:76" s="67" customFormat="1" ht="207.75" customHeight="1" x14ac:dyDescent="0.2">
      <c r="A78" s="76">
        <v>69</v>
      </c>
      <c r="B78" s="142" t="s">
        <v>59</v>
      </c>
      <c r="C78" s="142" t="s">
        <v>302</v>
      </c>
      <c r="D78" s="100" t="s">
        <v>78</v>
      </c>
      <c r="E78" s="100" t="s">
        <v>637</v>
      </c>
      <c r="F78" s="111" t="s">
        <v>638</v>
      </c>
      <c r="G78" s="142" t="s">
        <v>205</v>
      </c>
      <c r="H78" s="111" t="s">
        <v>620</v>
      </c>
      <c r="I78" s="111" t="s">
        <v>639</v>
      </c>
      <c r="J78" s="146" t="s">
        <v>336</v>
      </c>
      <c r="K78" s="100" t="s">
        <v>320</v>
      </c>
      <c r="L78" s="111" t="s">
        <v>321</v>
      </c>
      <c r="M78" s="100" t="s">
        <v>195</v>
      </c>
      <c r="N78" s="111" t="s">
        <v>640</v>
      </c>
      <c r="O78" s="100" t="s">
        <v>150</v>
      </c>
      <c r="P78" s="100" t="s">
        <v>641</v>
      </c>
      <c r="Q78" s="148" t="s">
        <v>325</v>
      </c>
      <c r="R78" s="148" t="s">
        <v>325</v>
      </c>
      <c r="S78" s="100" t="s">
        <v>348</v>
      </c>
      <c r="T78" s="100" t="s">
        <v>642</v>
      </c>
      <c r="U78" s="146" t="s">
        <v>328</v>
      </c>
      <c r="V78" s="146" t="s">
        <v>328</v>
      </c>
      <c r="W78" s="146" t="s">
        <v>329</v>
      </c>
      <c r="X78" s="146" t="s">
        <v>329</v>
      </c>
      <c r="Y78" s="146" t="s">
        <v>328</v>
      </c>
      <c r="Z78" s="146" t="s">
        <v>329</v>
      </c>
      <c r="AA78" s="146" t="s">
        <v>195</v>
      </c>
      <c r="AB78" s="146" t="s">
        <v>195</v>
      </c>
      <c r="AC78" s="160" t="s">
        <v>195</v>
      </c>
      <c r="AD78" s="142" t="s">
        <v>208</v>
      </c>
      <c r="AE78" s="142" t="s">
        <v>134</v>
      </c>
      <c r="AF78" s="144" t="str">
        <f t="shared" si="64"/>
        <v>ALTO</v>
      </c>
      <c r="AG78" s="146" t="s">
        <v>102</v>
      </c>
      <c r="AH78" s="144" t="str">
        <f t="shared" si="65"/>
        <v>MEDIO</v>
      </c>
      <c r="AI78" s="142" t="s">
        <v>111</v>
      </c>
      <c r="AJ78" s="146" t="s">
        <v>118</v>
      </c>
      <c r="AK78" s="144" t="str">
        <f t="shared" si="66"/>
        <v>MEDIO</v>
      </c>
      <c r="AL78" s="144" t="str">
        <f>VLOOKUP($AD78,[14]Tipologías!$B$3:$G$17,2,FALSE)</f>
        <v>ALTO</v>
      </c>
      <c r="AM78" s="144">
        <f t="shared" si="52"/>
        <v>3</v>
      </c>
      <c r="AN78" s="144" t="str">
        <f>VLOOKUP($AE78,[14]Tipologías!$A$21:$C$24,3,FALSE)</f>
        <v>ALTO</v>
      </c>
      <c r="AO78" s="144">
        <f t="shared" si="53"/>
        <v>3</v>
      </c>
      <c r="AP78" s="144">
        <f>VLOOKUP($AI78,[14]Tipologías!$A$38:$B$42,2,FALSE)</f>
        <v>0.5</v>
      </c>
      <c r="AQ78" s="144">
        <f>VLOOKUP($AJ78,[14]Tipologías!$A$46:$B$53,2,FALSE)</f>
        <v>2.25</v>
      </c>
      <c r="AR78" s="144" t="str">
        <f t="shared" ref="AR78:AR93" si="67">IF(MAX(AM78,AO78)=3,"ALTO",IF(MAX(AM78,AO78)=2,"MEDIO",IF(MAX(AM78,AO78)=1,"BAJO","  ")))</f>
        <v>ALTO</v>
      </c>
      <c r="AS78" s="144" t="str">
        <f>VLOOKUP($AG78,[14]Tipologías!$A$29:$C$33,3,FALSE)</f>
        <v>MEDIO</v>
      </c>
      <c r="AT78" s="144" t="str">
        <f t="shared" ref="AT78:AT93" si="68">IF(SUM($AP78,$AQ78)&gt;=3,"ALTO",IF(SUM($AP78,$AQ78)&lt;2,"BAJO","MEDIO"))</f>
        <v>MEDIO</v>
      </c>
      <c r="AU78" s="144" t="str">
        <f t="shared" ref="AU78:AU93" si="69">_xlfn.IFNA(IF(AND(AR78="BAJO",AS78="BAJO",AT78="BAJO"),"BAJO",IF(AND(AR78="ALTO",AS78="ALTO",AT78="ALTO"),"ALTO",IF(COUNTIF(AR78:AT78,"ALTO")=2,"ALTO","MEDIO")))," ")</f>
        <v>MEDIO</v>
      </c>
      <c r="AV78" s="144" t="str">
        <f>_xlfn.IFNA(VLOOKUP(AD78,[14]Tipologías!$B$3:$G$17,4,0),"")</f>
        <v>INFORMACIÓN PÚBLICA CLASIFICADA</v>
      </c>
      <c r="AW78" s="144" t="str">
        <f t="shared" ref="AW78:AW93" si="70">IF(AV78="INFORMACIÓN PÚBLICA","IPB",IF(AV78="INFORMACIÓN PÚBLICA CLASIFICADA","IPC",IF(AV78="INFORMACIÓN PÚBLICA RESERVADA","IPR",IF(AV78="",""))))</f>
        <v>IPC</v>
      </c>
      <c r="AX78" s="144" t="str">
        <f>_xlfn.IFNA(VLOOKUP(AD78,[14]Tipologías!$B$3:$G$17,3,0),"")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8" s="144" t="str">
        <f>_xlfn.IFNA(VLOOKUP(AD78,[14]Tipologías!$B$3:$G$17,5,0),"")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8" s="144" t="str">
        <f>_xlfn.IFNA(VLOOKUP(AD78,[14]Tipologías!$B$3:$G$17,6,0),"")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8" s="146" t="s">
        <v>197</v>
      </c>
      <c r="BB78" s="166">
        <v>45133</v>
      </c>
      <c r="BC78" s="148" t="s">
        <v>223</v>
      </c>
      <c r="BD78" s="146" t="s">
        <v>643</v>
      </c>
      <c r="BE78" s="146" t="s">
        <v>625</v>
      </c>
      <c r="BF78" s="45"/>
      <c r="BG78" s="45"/>
      <c r="BH78" s="45"/>
      <c r="BI78" s="45"/>
      <c r="BJ78" s="45"/>
      <c r="BK78" s="45"/>
      <c r="BL78" s="45"/>
      <c r="BM78" s="45"/>
      <c r="BN78" s="45"/>
      <c r="BO78" s="45"/>
      <c r="BP78" s="45"/>
      <c r="BQ78" s="45"/>
      <c r="BR78" s="45"/>
      <c r="BS78" s="45"/>
      <c r="BT78" s="45"/>
      <c r="BU78" s="45"/>
      <c r="BV78" s="45"/>
      <c r="BW78" s="45"/>
      <c r="BX78" s="45"/>
    </row>
    <row r="79" spans="1:76" s="67" customFormat="1" ht="207.75" customHeight="1" x14ac:dyDescent="0.2">
      <c r="A79" s="76">
        <v>70</v>
      </c>
      <c r="B79" s="142" t="s">
        <v>59</v>
      </c>
      <c r="C79" s="142" t="s">
        <v>302</v>
      </c>
      <c r="D79" s="100" t="s">
        <v>78</v>
      </c>
      <c r="E79" s="100" t="s">
        <v>644</v>
      </c>
      <c r="F79" s="111" t="s">
        <v>645</v>
      </c>
      <c r="G79" s="142" t="s">
        <v>205</v>
      </c>
      <c r="H79" s="111" t="s">
        <v>620</v>
      </c>
      <c r="I79" s="111" t="s">
        <v>639</v>
      </c>
      <c r="J79" s="146" t="s">
        <v>336</v>
      </c>
      <c r="K79" s="100" t="s">
        <v>320</v>
      </c>
      <c r="L79" s="111" t="s">
        <v>321</v>
      </c>
      <c r="M79" s="100" t="s">
        <v>195</v>
      </c>
      <c r="N79" s="111" t="s">
        <v>646</v>
      </c>
      <c r="O79" s="100" t="s">
        <v>150</v>
      </c>
      <c r="P79" s="100" t="s">
        <v>641</v>
      </c>
      <c r="Q79" s="148" t="s">
        <v>325</v>
      </c>
      <c r="R79" s="148" t="s">
        <v>325</v>
      </c>
      <c r="S79" s="100" t="s">
        <v>348</v>
      </c>
      <c r="T79" s="100" t="s">
        <v>647</v>
      </c>
      <c r="U79" s="146" t="s">
        <v>328</v>
      </c>
      <c r="V79" s="146" t="s">
        <v>328</v>
      </c>
      <c r="W79" s="146" t="s">
        <v>329</v>
      </c>
      <c r="X79" s="146" t="s">
        <v>329</v>
      </c>
      <c r="Y79" s="146" t="s">
        <v>329</v>
      </c>
      <c r="Z79" s="146" t="s">
        <v>329</v>
      </c>
      <c r="AA79" s="146" t="s">
        <v>195</v>
      </c>
      <c r="AB79" s="146" t="s">
        <v>195</v>
      </c>
      <c r="AC79" s="160" t="s">
        <v>195</v>
      </c>
      <c r="AD79" s="142" t="s">
        <v>208</v>
      </c>
      <c r="AE79" s="142" t="s">
        <v>134</v>
      </c>
      <c r="AF79" s="144" t="str">
        <f t="shared" si="64"/>
        <v>ALTO</v>
      </c>
      <c r="AG79" s="146" t="s">
        <v>102</v>
      </c>
      <c r="AH79" s="144" t="str">
        <f t="shared" si="65"/>
        <v>MEDIO</v>
      </c>
      <c r="AI79" s="142" t="s">
        <v>111</v>
      </c>
      <c r="AJ79" s="146" t="s">
        <v>118</v>
      </c>
      <c r="AK79" s="144" t="str">
        <f t="shared" si="66"/>
        <v>MEDIO</v>
      </c>
      <c r="AL79" s="144" t="str">
        <f>VLOOKUP($AD79,[14]Tipologías!$B$3:$G$17,2,FALSE)</f>
        <v>ALTO</v>
      </c>
      <c r="AM79" s="144">
        <f t="shared" si="52"/>
        <v>3</v>
      </c>
      <c r="AN79" s="144" t="str">
        <f>VLOOKUP($AE79,[14]Tipologías!$A$21:$C$24,3,FALSE)</f>
        <v>ALTO</v>
      </c>
      <c r="AO79" s="144">
        <f t="shared" si="53"/>
        <v>3</v>
      </c>
      <c r="AP79" s="144">
        <f>VLOOKUP($AI79,[14]Tipologías!$A$38:$B$42,2,FALSE)</f>
        <v>0.5</v>
      </c>
      <c r="AQ79" s="144">
        <f>VLOOKUP($AJ79,[14]Tipologías!$A$46:$B$53,2,FALSE)</f>
        <v>2.25</v>
      </c>
      <c r="AR79" s="144" t="str">
        <f t="shared" si="67"/>
        <v>ALTO</v>
      </c>
      <c r="AS79" s="144" t="str">
        <f>VLOOKUP($AG79,[14]Tipologías!$A$29:$C$33,3,FALSE)</f>
        <v>MEDIO</v>
      </c>
      <c r="AT79" s="144" t="str">
        <f t="shared" si="68"/>
        <v>MEDIO</v>
      </c>
      <c r="AU79" s="144" t="str">
        <f t="shared" si="69"/>
        <v>MEDIO</v>
      </c>
      <c r="AV79" s="144" t="str">
        <f>_xlfn.IFNA(VLOOKUP(AD79,[14]Tipologías!$B$3:$G$17,4,0),"")</f>
        <v>INFORMACIÓN PÚBLICA CLASIFICADA</v>
      </c>
      <c r="AW79" s="144" t="str">
        <f t="shared" si="70"/>
        <v>IPC</v>
      </c>
      <c r="AX79" s="144" t="str">
        <f>_xlfn.IFNA(VLOOKUP(AD79,[14]Tipologías!$B$3:$G$17,3,0),"")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9" s="144" t="str">
        <f>_xlfn.IFNA(VLOOKUP(AD79,[14]Tipologías!$B$3:$G$17,5,0),"")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9" s="144" t="str">
        <f>_xlfn.IFNA(VLOOKUP(AD79,[14]Tipologías!$B$3:$G$17,6,0),"")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9" s="148" t="s">
        <v>197</v>
      </c>
      <c r="BB79" s="166">
        <v>45133</v>
      </c>
      <c r="BC79" s="148" t="s">
        <v>227</v>
      </c>
      <c r="BD79" s="146" t="s">
        <v>643</v>
      </c>
      <c r="BE79" s="146" t="s">
        <v>625</v>
      </c>
      <c r="BF79" s="45"/>
      <c r="BG79" s="45"/>
      <c r="BH79" s="45"/>
      <c r="BI79" s="45"/>
      <c r="BJ79" s="45"/>
      <c r="BK79" s="45"/>
      <c r="BL79" s="45"/>
      <c r="BM79" s="45"/>
      <c r="BN79" s="45"/>
      <c r="BO79" s="45"/>
      <c r="BP79" s="45"/>
      <c r="BQ79" s="45"/>
      <c r="BR79" s="45"/>
      <c r="BS79" s="45"/>
      <c r="BT79" s="45"/>
      <c r="BU79" s="45"/>
      <c r="BV79" s="45"/>
      <c r="BW79" s="45"/>
      <c r="BX79" s="45"/>
    </row>
    <row r="80" spans="1:76" s="67" customFormat="1" ht="207.75" customHeight="1" x14ac:dyDescent="0.2">
      <c r="A80" s="76">
        <v>71</v>
      </c>
      <c r="B80" s="110" t="s">
        <v>59</v>
      </c>
      <c r="C80" s="110" t="s">
        <v>302</v>
      </c>
      <c r="D80" s="100" t="s">
        <v>78</v>
      </c>
      <c r="E80" s="109" t="s">
        <v>648</v>
      </c>
      <c r="F80" s="111" t="s">
        <v>649</v>
      </c>
      <c r="G80" s="110" t="s">
        <v>174</v>
      </c>
      <c r="H80" s="111" t="s">
        <v>620</v>
      </c>
      <c r="I80" s="111" t="s">
        <v>620</v>
      </c>
      <c r="J80" s="115" t="s">
        <v>336</v>
      </c>
      <c r="K80" s="100" t="s">
        <v>320</v>
      </c>
      <c r="L80" s="111" t="s">
        <v>321</v>
      </c>
      <c r="M80" s="100" t="s">
        <v>195</v>
      </c>
      <c r="N80" s="111" t="s">
        <v>640</v>
      </c>
      <c r="O80" s="100" t="s">
        <v>151</v>
      </c>
      <c r="P80" s="100" t="s">
        <v>596</v>
      </c>
      <c r="Q80" s="148"/>
      <c r="R80" s="148" t="s">
        <v>325</v>
      </c>
      <c r="S80" s="100" t="s">
        <v>650</v>
      </c>
      <c r="T80" s="100" t="s">
        <v>651</v>
      </c>
      <c r="U80" s="146" t="s">
        <v>328</v>
      </c>
      <c r="V80" s="146" t="s">
        <v>328</v>
      </c>
      <c r="W80" s="146" t="s">
        <v>328</v>
      </c>
      <c r="X80" s="146" t="s">
        <v>329</v>
      </c>
      <c r="Y80" s="146" t="s">
        <v>328</v>
      </c>
      <c r="Z80" s="146" t="s">
        <v>328</v>
      </c>
      <c r="AA80" s="146" t="s">
        <v>328</v>
      </c>
      <c r="AB80" s="146" t="s">
        <v>328</v>
      </c>
      <c r="AC80" s="160" t="s">
        <v>195</v>
      </c>
      <c r="AD80" s="142" t="s">
        <v>206</v>
      </c>
      <c r="AE80" s="142" t="s">
        <v>134</v>
      </c>
      <c r="AF80" s="144" t="str">
        <f t="shared" si="64"/>
        <v>ALTO</v>
      </c>
      <c r="AG80" s="146" t="s">
        <v>102</v>
      </c>
      <c r="AH80" s="144" t="str">
        <f t="shared" si="65"/>
        <v>MEDIO</v>
      </c>
      <c r="AI80" s="142" t="s">
        <v>115</v>
      </c>
      <c r="AJ80" s="146" t="s">
        <v>120</v>
      </c>
      <c r="AK80" s="144" t="str">
        <f t="shared" si="66"/>
        <v>ALTO</v>
      </c>
      <c r="AL80" s="80" t="str">
        <f>VLOOKUP($AD80,[14]Tipologías!$B$3:$G$17,2,FALSE)</f>
        <v>ALTO</v>
      </c>
      <c r="AM80" s="80">
        <f t="shared" si="52"/>
        <v>3</v>
      </c>
      <c r="AN80" s="80" t="str">
        <f>VLOOKUP($AE80,[14]Tipologías!$A$21:$C$24,3,FALSE)</f>
        <v>ALTO</v>
      </c>
      <c r="AO80" s="80">
        <f t="shared" si="53"/>
        <v>3</v>
      </c>
      <c r="AP80" s="80">
        <f>VLOOKUP($AI80,[14]Tipologías!$A$38:$B$42,2,FALSE)</f>
        <v>2</v>
      </c>
      <c r="AQ80" s="80">
        <f>VLOOKUP($AJ80,[14]Tipologías!$A$46:$B$53,2,FALSE)</f>
        <v>1.5</v>
      </c>
      <c r="AR80" s="80" t="str">
        <f t="shared" si="67"/>
        <v>ALTO</v>
      </c>
      <c r="AS80" s="80" t="str">
        <f>VLOOKUP($AG80,[14]Tipologías!$A$29:$C$33,3,FALSE)</f>
        <v>MEDIO</v>
      </c>
      <c r="AT80" s="80" t="str">
        <f t="shared" si="68"/>
        <v>ALTO</v>
      </c>
      <c r="AU80" s="80" t="str">
        <f t="shared" si="69"/>
        <v>ALTO</v>
      </c>
      <c r="AV80" s="80" t="str">
        <f>_xlfn.IFNA(VLOOKUP(AD80,[14]Tipologías!$B$3:$G$17,4,0),"")</f>
        <v>INFORMACIÓN PÚBLICA CLASIFICADA</v>
      </c>
      <c r="AW80" s="80" t="str">
        <f t="shared" si="70"/>
        <v>IPC</v>
      </c>
      <c r="AX80" s="80" t="str">
        <f>_xlfn.IFNA(VLOOKUP(AD80,[14]Tipologías!$B$3:$G$17,3,0),"")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0" s="80" t="str">
        <f>_xlfn.IFNA(VLOOKUP(AD80,[14]Tipologías!$B$3:$G$17,5,0),"")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0" s="80" t="str">
        <f>_xlfn.IFNA(VLOOKUP(AD80,[14]Tipologías!$B$3:$G$17,6,0),"")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0" s="148" t="s">
        <v>197</v>
      </c>
      <c r="BB80" s="166">
        <v>45133</v>
      </c>
      <c r="BC80" s="148" t="s">
        <v>201</v>
      </c>
      <c r="BD80" s="146" t="s">
        <v>652</v>
      </c>
      <c r="BE80" s="146" t="s">
        <v>625</v>
      </c>
      <c r="BF80" s="45"/>
      <c r="BG80" s="45"/>
      <c r="BH80" s="45"/>
      <c r="BI80" s="45"/>
      <c r="BJ80" s="45"/>
      <c r="BK80" s="45"/>
      <c r="BL80" s="45"/>
      <c r="BM80" s="45"/>
      <c r="BN80" s="45"/>
      <c r="BO80" s="45"/>
      <c r="BP80" s="45"/>
      <c r="BQ80" s="45"/>
      <c r="BR80" s="45"/>
      <c r="BS80" s="45"/>
      <c r="BT80" s="45"/>
      <c r="BU80" s="45"/>
      <c r="BV80" s="45"/>
      <c r="BW80" s="45"/>
      <c r="BX80" s="45"/>
    </row>
    <row r="81" spans="1:76" s="67" customFormat="1" ht="207.75" customHeight="1" x14ac:dyDescent="0.2">
      <c r="A81" s="76">
        <v>72</v>
      </c>
      <c r="B81" s="110" t="s">
        <v>59</v>
      </c>
      <c r="C81" s="110" t="s">
        <v>302</v>
      </c>
      <c r="D81" s="100" t="s">
        <v>78</v>
      </c>
      <c r="E81" s="109" t="s">
        <v>653</v>
      </c>
      <c r="F81" s="110" t="s">
        <v>654</v>
      </c>
      <c r="G81" s="110" t="s">
        <v>140</v>
      </c>
      <c r="H81" s="110" t="s">
        <v>620</v>
      </c>
      <c r="I81" s="110" t="s">
        <v>284</v>
      </c>
      <c r="J81" s="115" t="s">
        <v>336</v>
      </c>
      <c r="K81" s="100" t="s">
        <v>320</v>
      </c>
      <c r="L81" s="111" t="s">
        <v>321</v>
      </c>
      <c r="M81" s="157" t="s">
        <v>195</v>
      </c>
      <c r="N81" s="111" t="s">
        <v>640</v>
      </c>
      <c r="O81" s="100" t="s">
        <v>151</v>
      </c>
      <c r="P81" s="157" t="s">
        <v>655</v>
      </c>
      <c r="Q81" s="148" t="s">
        <v>325</v>
      </c>
      <c r="R81" s="148"/>
      <c r="S81" s="157" t="s">
        <v>195</v>
      </c>
      <c r="T81" s="157" t="s">
        <v>195</v>
      </c>
      <c r="U81" s="146" t="s">
        <v>329</v>
      </c>
      <c r="V81" s="146" t="s">
        <v>328</v>
      </c>
      <c r="W81" s="146" t="s">
        <v>328</v>
      </c>
      <c r="X81" s="146" t="s">
        <v>329</v>
      </c>
      <c r="Y81" s="146" t="s">
        <v>329</v>
      </c>
      <c r="Z81" s="146" t="s">
        <v>329</v>
      </c>
      <c r="AA81" s="146" t="s">
        <v>195</v>
      </c>
      <c r="AB81" s="146" t="s">
        <v>195</v>
      </c>
      <c r="AC81" s="157" t="s">
        <v>195</v>
      </c>
      <c r="AD81" s="142" t="s">
        <v>208</v>
      </c>
      <c r="AE81" s="142" t="s">
        <v>134</v>
      </c>
      <c r="AF81" s="144" t="str">
        <f t="shared" si="64"/>
        <v>ALTO</v>
      </c>
      <c r="AG81" s="146" t="s">
        <v>104</v>
      </c>
      <c r="AH81" s="144" t="str">
        <f t="shared" si="65"/>
        <v>ALTO</v>
      </c>
      <c r="AI81" s="142" t="s">
        <v>115</v>
      </c>
      <c r="AJ81" s="146" t="s">
        <v>117</v>
      </c>
      <c r="AK81" s="144" t="str">
        <f t="shared" si="66"/>
        <v>ALTO</v>
      </c>
      <c r="AL81" s="80" t="str">
        <f>VLOOKUP($AD81,[14]Tipologías!$B$3:$G$17,2,FALSE)</f>
        <v>ALTO</v>
      </c>
      <c r="AM81" s="80">
        <f t="shared" si="52"/>
        <v>3</v>
      </c>
      <c r="AN81" s="80" t="str">
        <f>VLOOKUP($AE81,[14]Tipologías!$A$21:$C$24,3,FALSE)</f>
        <v>ALTO</v>
      </c>
      <c r="AO81" s="80">
        <f t="shared" si="53"/>
        <v>3</v>
      </c>
      <c r="AP81" s="80">
        <f>VLOOKUP($AI81,[14]Tipologías!$A$38:$B$42,2,FALSE)</f>
        <v>2</v>
      </c>
      <c r="AQ81" s="80">
        <f>VLOOKUP($AJ81,[14]Tipologías!$A$46:$B$53,2,FALSE)</f>
        <v>2.5</v>
      </c>
      <c r="AR81" s="80" t="str">
        <f t="shared" si="67"/>
        <v>ALTO</v>
      </c>
      <c r="AS81" s="80" t="str">
        <f>VLOOKUP($AG81,[14]Tipologías!$A$29:$C$33,3,FALSE)</f>
        <v>ALTO</v>
      </c>
      <c r="AT81" s="80" t="str">
        <f t="shared" si="68"/>
        <v>ALTO</v>
      </c>
      <c r="AU81" s="80" t="str">
        <f t="shared" si="69"/>
        <v>ALTO</v>
      </c>
      <c r="AV81" s="80" t="str">
        <f>_xlfn.IFNA(VLOOKUP(AD81,[14]Tipologías!$B$3:$G$17,4,0),"")</f>
        <v>INFORMACIÓN PÚBLICA CLASIFICADA</v>
      </c>
      <c r="AW81" s="80" t="str">
        <f t="shared" si="70"/>
        <v>IPC</v>
      </c>
      <c r="AX81" s="80" t="str">
        <f>_xlfn.IFNA(VLOOKUP(AD81,[14]Tipologías!$B$3:$G$17,3,0),"")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1" s="80" t="str">
        <f>_xlfn.IFNA(VLOOKUP(AD81,[14]Tipologías!$B$3:$G$17,5,0),"")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1" s="80" t="str">
        <f>_xlfn.IFNA(VLOOKUP(AD81,[14]Tipologías!$B$3:$G$17,6,0),"")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1" s="148" t="s">
        <v>195</v>
      </c>
      <c r="BB81" s="166">
        <v>45133</v>
      </c>
      <c r="BC81" s="148" t="s">
        <v>195</v>
      </c>
      <c r="BD81" s="146" t="s">
        <v>652</v>
      </c>
      <c r="BE81" s="146" t="s">
        <v>625</v>
      </c>
      <c r="BF81" s="45"/>
      <c r="BG81" s="45"/>
      <c r="BH81" s="45"/>
      <c r="BI81" s="45"/>
      <c r="BJ81" s="45"/>
      <c r="BK81" s="45"/>
      <c r="BL81" s="45"/>
      <c r="BM81" s="45"/>
      <c r="BN81" s="45"/>
      <c r="BO81" s="45"/>
      <c r="BP81" s="45"/>
      <c r="BQ81" s="45"/>
      <c r="BR81" s="45"/>
      <c r="BS81" s="45"/>
      <c r="BT81" s="45"/>
      <c r="BU81" s="45"/>
      <c r="BV81" s="45"/>
      <c r="BW81" s="45"/>
      <c r="BX81" s="45"/>
    </row>
    <row r="82" spans="1:76" s="67" customFormat="1" ht="207.75" customHeight="1" x14ac:dyDescent="0.2">
      <c r="A82" s="76">
        <v>73</v>
      </c>
      <c r="B82" s="110" t="s">
        <v>59</v>
      </c>
      <c r="C82" s="110" t="s">
        <v>302</v>
      </c>
      <c r="D82" s="100" t="s">
        <v>78</v>
      </c>
      <c r="E82" s="109" t="s">
        <v>656</v>
      </c>
      <c r="F82" s="111" t="s">
        <v>657</v>
      </c>
      <c r="G82" s="110" t="s">
        <v>173</v>
      </c>
      <c r="H82" s="111" t="s">
        <v>620</v>
      </c>
      <c r="I82" s="111" t="s">
        <v>620</v>
      </c>
      <c r="J82" s="100" t="s">
        <v>195</v>
      </c>
      <c r="K82" s="100" t="s">
        <v>320</v>
      </c>
      <c r="L82" s="111" t="s">
        <v>321</v>
      </c>
      <c r="M82" s="100" t="s">
        <v>195</v>
      </c>
      <c r="N82" s="111" t="s">
        <v>195</v>
      </c>
      <c r="O82" s="100" t="s">
        <v>195</v>
      </c>
      <c r="P82" s="100" t="s">
        <v>195</v>
      </c>
      <c r="Q82" s="100" t="s">
        <v>195</v>
      </c>
      <c r="R82" s="100" t="s">
        <v>195</v>
      </c>
      <c r="S82" s="100" t="s">
        <v>195</v>
      </c>
      <c r="T82" s="100" t="s">
        <v>195</v>
      </c>
      <c r="U82" s="146" t="s">
        <v>195</v>
      </c>
      <c r="V82" s="146" t="s">
        <v>195</v>
      </c>
      <c r="W82" s="146" t="s">
        <v>195</v>
      </c>
      <c r="X82" s="146" t="s">
        <v>195</v>
      </c>
      <c r="Y82" s="146" t="s">
        <v>195</v>
      </c>
      <c r="Z82" s="146" t="s">
        <v>195</v>
      </c>
      <c r="AA82" s="146" t="s">
        <v>195</v>
      </c>
      <c r="AB82" s="146" t="s">
        <v>195</v>
      </c>
      <c r="AC82" s="157" t="s">
        <v>195</v>
      </c>
      <c r="AD82" s="142" t="s">
        <v>208</v>
      </c>
      <c r="AE82" s="142" t="s">
        <v>134</v>
      </c>
      <c r="AF82" s="144" t="str">
        <f t="shared" si="64"/>
        <v>ALTO</v>
      </c>
      <c r="AG82" s="146" t="s">
        <v>104</v>
      </c>
      <c r="AH82" s="144" t="str">
        <f t="shared" si="65"/>
        <v>ALTO</v>
      </c>
      <c r="AI82" s="142" t="s">
        <v>111</v>
      </c>
      <c r="AJ82" s="146" t="s">
        <v>123</v>
      </c>
      <c r="AK82" s="144" t="str">
        <f t="shared" si="66"/>
        <v>BAJO</v>
      </c>
      <c r="AL82" s="80" t="str">
        <f>VLOOKUP($AD82,[14]Tipologías!$B$3:$G$17,2,FALSE)</f>
        <v>ALTO</v>
      </c>
      <c r="AM82" s="80">
        <f t="shared" si="52"/>
        <v>3</v>
      </c>
      <c r="AN82" s="80" t="str">
        <f>VLOOKUP($AE82,[14]Tipologías!$A$21:$C$24,3,FALSE)</f>
        <v>ALTO</v>
      </c>
      <c r="AO82" s="80">
        <f t="shared" si="53"/>
        <v>3</v>
      </c>
      <c r="AP82" s="80">
        <f>VLOOKUP($AI82,[14]Tipologías!$A$38:$B$42,2,FALSE)</f>
        <v>0.5</v>
      </c>
      <c r="AQ82" s="80">
        <f>VLOOKUP($AJ82,[14]Tipologías!$A$46:$B$53,2,FALSE)</f>
        <v>0.5</v>
      </c>
      <c r="AR82" s="80" t="str">
        <f t="shared" si="67"/>
        <v>ALTO</v>
      </c>
      <c r="AS82" s="80" t="str">
        <f>VLOOKUP($AG82,[14]Tipologías!$A$29:$C$33,3,FALSE)</f>
        <v>ALTO</v>
      </c>
      <c r="AT82" s="80" t="str">
        <f t="shared" si="68"/>
        <v>BAJO</v>
      </c>
      <c r="AU82" s="80" t="str">
        <f t="shared" si="69"/>
        <v>ALTO</v>
      </c>
      <c r="AV82" s="80" t="str">
        <f>_xlfn.IFNA(VLOOKUP(AD82,[14]Tipologías!$B$3:$G$17,4,0),"")</f>
        <v>INFORMACIÓN PÚBLICA CLASIFICADA</v>
      </c>
      <c r="AW82" s="80" t="str">
        <f t="shared" si="70"/>
        <v>IPC</v>
      </c>
      <c r="AX82" s="80" t="str">
        <f>_xlfn.IFNA(VLOOKUP(AD82,[14]Tipologías!$B$3:$G$17,3,0),"")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2" s="80" t="str">
        <f>_xlfn.IFNA(VLOOKUP(AD82,[14]Tipologías!$B$3:$G$17,5,0),"")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2" s="80" t="str">
        <f>_xlfn.IFNA(VLOOKUP(AD82,[14]Tipologías!$B$3:$G$17,6,0),"")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2" s="148" t="s">
        <v>195</v>
      </c>
      <c r="BB82" s="166">
        <v>45133</v>
      </c>
      <c r="BC82" s="148" t="s">
        <v>195</v>
      </c>
      <c r="BD82" s="146" t="s">
        <v>652</v>
      </c>
      <c r="BE82" s="146" t="s">
        <v>625</v>
      </c>
      <c r="BF82" s="45"/>
      <c r="BG82" s="45"/>
      <c r="BH82" s="45"/>
      <c r="BI82" s="45"/>
      <c r="BJ82" s="45"/>
      <c r="BK82" s="45"/>
      <c r="BL82" s="45"/>
      <c r="BM82" s="45"/>
      <c r="BN82" s="45"/>
      <c r="BO82" s="45"/>
      <c r="BP82" s="45"/>
      <c r="BQ82" s="45"/>
      <c r="BR82" s="45"/>
      <c r="BS82" s="45"/>
      <c r="BT82" s="45"/>
      <c r="BU82" s="45"/>
      <c r="BV82" s="45"/>
      <c r="BW82" s="45"/>
      <c r="BX82" s="45"/>
    </row>
    <row r="83" spans="1:76" s="67" customFormat="1" ht="207.75" customHeight="1" x14ac:dyDescent="0.2">
      <c r="A83" s="76">
        <v>74</v>
      </c>
      <c r="B83" s="110" t="s">
        <v>59</v>
      </c>
      <c r="C83" s="110" t="s">
        <v>302</v>
      </c>
      <c r="D83" s="100" t="s">
        <v>78</v>
      </c>
      <c r="E83" s="100" t="s">
        <v>658</v>
      </c>
      <c r="F83" s="111" t="s">
        <v>659</v>
      </c>
      <c r="G83" s="110" t="s">
        <v>140</v>
      </c>
      <c r="H83" s="111" t="s">
        <v>620</v>
      </c>
      <c r="I83" s="111" t="s">
        <v>284</v>
      </c>
      <c r="J83" s="115" t="s">
        <v>336</v>
      </c>
      <c r="K83" s="100" t="s">
        <v>320</v>
      </c>
      <c r="L83" s="111" t="s">
        <v>321</v>
      </c>
      <c r="M83" s="100" t="s">
        <v>195</v>
      </c>
      <c r="N83" s="111" t="s">
        <v>660</v>
      </c>
      <c r="O83" s="100" t="s">
        <v>151</v>
      </c>
      <c r="P83" s="100" t="s">
        <v>661</v>
      </c>
      <c r="Q83" s="148" t="s">
        <v>325</v>
      </c>
      <c r="R83" s="148"/>
      <c r="S83" s="100" t="s">
        <v>195</v>
      </c>
      <c r="T83" s="100" t="s">
        <v>195</v>
      </c>
      <c r="U83" s="146" t="s">
        <v>329</v>
      </c>
      <c r="V83" s="146" t="s">
        <v>195</v>
      </c>
      <c r="W83" s="146" t="s">
        <v>195</v>
      </c>
      <c r="X83" s="146" t="s">
        <v>195</v>
      </c>
      <c r="Y83" s="146" t="s">
        <v>195</v>
      </c>
      <c r="Z83" s="146" t="s">
        <v>195</v>
      </c>
      <c r="AA83" s="146" t="s">
        <v>195</v>
      </c>
      <c r="AB83" s="146" t="s">
        <v>195</v>
      </c>
      <c r="AC83" s="160" t="s">
        <v>195</v>
      </c>
      <c r="AD83" s="142" t="s">
        <v>208</v>
      </c>
      <c r="AE83" s="142" t="s">
        <v>134</v>
      </c>
      <c r="AF83" s="144" t="str">
        <f t="shared" si="64"/>
        <v>ALTO</v>
      </c>
      <c r="AG83" s="146" t="s">
        <v>104</v>
      </c>
      <c r="AH83" s="144" t="str">
        <f t="shared" si="65"/>
        <v>ALTO</v>
      </c>
      <c r="AI83" s="142" t="s">
        <v>115</v>
      </c>
      <c r="AJ83" s="146" t="s">
        <v>117</v>
      </c>
      <c r="AK83" s="144" t="str">
        <f t="shared" si="66"/>
        <v>ALTO</v>
      </c>
      <c r="AL83" s="80" t="str">
        <f>VLOOKUP($AD83,[14]Tipologías!$B$3:$G$17,2,FALSE)</f>
        <v>ALTO</v>
      </c>
      <c r="AM83" s="80">
        <f t="shared" si="52"/>
        <v>3</v>
      </c>
      <c r="AN83" s="80" t="str">
        <f>VLOOKUP($AE83,[14]Tipologías!$A$21:$C$24,3,FALSE)</f>
        <v>ALTO</v>
      </c>
      <c r="AO83" s="80">
        <f t="shared" si="53"/>
        <v>3</v>
      </c>
      <c r="AP83" s="80">
        <f>VLOOKUP($AI83,[14]Tipologías!$A$38:$B$42,2,FALSE)</f>
        <v>2</v>
      </c>
      <c r="AQ83" s="80">
        <f>VLOOKUP($AJ83,[14]Tipologías!$A$46:$B$53,2,FALSE)</f>
        <v>2.5</v>
      </c>
      <c r="AR83" s="80" t="str">
        <f t="shared" si="67"/>
        <v>ALTO</v>
      </c>
      <c r="AS83" s="80" t="str">
        <f>VLOOKUP($AG83,[14]Tipologías!$A$29:$C$33,3,FALSE)</f>
        <v>ALTO</v>
      </c>
      <c r="AT83" s="80" t="str">
        <f t="shared" si="68"/>
        <v>ALTO</v>
      </c>
      <c r="AU83" s="80" t="str">
        <f t="shared" si="69"/>
        <v>ALTO</v>
      </c>
      <c r="AV83" s="80" t="str">
        <f>_xlfn.IFNA(VLOOKUP(AD83,[14]Tipologías!$B$3:$G$17,4,0),"")</f>
        <v>INFORMACIÓN PÚBLICA CLASIFICADA</v>
      </c>
      <c r="AW83" s="80" t="str">
        <f t="shared" si="70"/>
        <v>IPC</v>
      </c>
      <c r="AX83" s="80" t="str">
        <f>_xlfn.IFNA(VLOOKUP(AD83,[14]Tipologías!$B$3:$G$17,3,0),"")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83" s="80" t="str">
        <f>_xlfn.IFNA(VLOOKUP(AD83,[14]Tipologías!$B$3:$G$17,5,0),"")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83" s="80" t="str">
        <f>_xlfn.IFNA(VLOOKUP(AD83,[14]Tipologías!$B$3:$G$17,6,0),"")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83" s="148" t="s">
        <v>196</v>
      </c>
      <c r="BB83" s="166">
        <v>45133</v>
      </c>
      <c r="BC83" s="148" t="s">
        <v>201</v>
      </c>
      <c r="BD83" s="146" t="s">
        <v>662</v>
      </c>
      <c r="BE83" s="146" t="s">
        <v>625</v>
      </c>
      <c r="BF83" s="45"/>
      <c r="BG83" s="45"/>
      <c r="BH83" s="45"/>
      <c r="BI83" s="45"/>
      <c r="BJ83" s="45"/>
      <c r="BK83" s="45"/>
      <c r="BL83" s="45"/>
      <c r="BM83" s="45"/>
      <c r="BN83" s="45"/>
      <c r="BO83" s="45"/>
      <c r="BP83" s="45"/>
      <c r="BQ83" s="45"/>
      <c r="BR83" s="45"/>
      <c r="BS83" s="45"/>
      <c r="BT83" s="45"/>
      <c r="BU83" s="45"/>
      <c r="BV83" s="45"/>
      <c r="BW83" s="45"/>
      <c r="BX83" s="45"/>
    </row>
    <row r="84" spans="1:76" s="67" customFormat="1" ht="207.75" customHeight="1" x14ac:dyDescent="0.2">
      <c r="A84" s="76">
        <v>75</v>
      </c>
      <c r="B84" s="110" t="s">
        <v>59</v>
      </c>
      <c r="C84" s="110" t="s">
        <v>302</v>
      </c>
      <c r="D84" s="100" t="s">
        <v>78</v>
      </c>
      <c r="E84" s="100" t="s">
        <v>663</v>
      </c>
      <c r="F84" s="111" t="s">
        <v>664</v>
      </c>
      <c r="G84" s="110" t="s">
        <v>174</v>
      </c>
      <c r="H84" s="111" t="s">
        <v>620</v>
      </c>
      <c r="I84" s="111" t="s">
        <v>284</v>
      </c>
      <c r="J84" s="115" t="s">
        <v>336</v>
      </c>
      <c r="K84" s="100" t="s">
        <v>320</v>
      </c>
      <c r="L84" s="111" t="s">
        <v>321</v>
      </c>
      <c r="M84" s="100" t="s">
        <v>195</v>
      </c>
      <c r="N84" s="111" t="s">
        <v>640</v>
      </c>
      <c r="O84" s="100" t="s">
        <v>151</v>
      </c>
      <c r="P84" s="100" t="s">
        <v>665</v>
      </c>
      <c r="Q84" s="148" t="s">
        <v>325</v>
      </c>
      <c r="R84" s="148" t="s">
        <v>325</v>
      </c>
      <c r="S84" s="100" t="s">
        <v>195</v>
      </c>
      <c r="T84" s="100" t="s">
        <v>195</v>
      </c>
      <c r="U84" s="146" t="s">
        <v>328</v>
      </c>
      <c r="V84" s="146" t="s">
        <v>328</v>
      </c>
      <c r="W84" s="146" t="s">
        <v>328</v>
      </c>
      <c r="X84" s="146" t="s">
        <v>329</v>
      </c>
      <c r="Y84" s="146" t="s">
        <v>328</v>
      </c>
      <c r="Z84" s="146" t="s">
        <v>329</v>
      </c>
      <c r="AA84" s="146" t="s">
        <v>328</v>
      </c>
      <c r="AB84" s="146" t="s">
        <v>328</v>
      </c>
      <c r="AC84" s="160" t="s">
        <v>195</v>
      </c>
      <c r="AD84" s="142" t="s">
        <v>206</v>
      </c>
      <c r="AE84" s="142" t="s">
        <v>134</v>
      </c>
      <c r="AF84" s="144" t="str">
        <f t="shared" si="64"/>
        <v>ALTO</v>
      </c>
      <c r="AG84" s="146" t="s">
        <v>104</v>
      </c>
      <c r="AH84" s="144" t="str">
        <f t="shared" si="65"/>
        <v>ALTO</v>
      </c>
      <c r="AI84" s="142" t="s">
        <v>115</v>
      </c>
      <c r="AJ84" s="146" t="s">
        <v>118</v>
      </c>
      <c r="AK84" s="144" t="str">
        <f t="shared" si="66"/>
        <v>ALTO</v>
      </c>
      <c r="AL84" s="80" t="str">
        <f>VLOOKUP($AD84,[14]Tipologías!$B$3:$G$17,2,FALSE)</f>
        <v>ALTO</v>
      </c>
      <c r="AM84" s="80">
        <f t="shared" si="52"/>
        <v>3</v>
      </c>
      <c r="AN84" s="80" t="str">
        <f>VLOOKUP($AE84,[14]Tipologías!$A$21:$C$24,3,FALSE)</f>
        <v>ALTO</v>
      </c>
      <c r="AO84" s="80">
        <f t="shared" si="53"/>
        <v>3</v>
      </c>
      <c r="AP84" s="80">
        <f>VLOOKUP($AI84,[14]Tipologías!$A$38:$B$42,2,FALSE)</f>
        <v>2</v>
      </c>
      <c r="AQ84" s="80">
        <f>VLOOKUP($AJ84,[14]Tipologías!$A$46:$B$53,2,FALSE)</f>
        <v>2.25</v>
      </c>
      <c r="AR84" s="80" t="str">
        <f t="shared" si="67"/>
        <v>ALTO</v>
      </c>
      <c r="AS84" s="80" t="str">
        <f>VLOOKUP($AG84,[14]Tipologías!$A$29:$C$33,3,FALSE)</f>
        <v>ALTO</v>
      </c>
      <c r="AT84" s="80" t="str">
        <f t="shared" si="68"/>
        <v>ALTO</v>
      </c>
      <c r="AU84" s="80" t="str">
        <f t="shared" si="69"/>
        <v>ALTO</v>
      </c>
      <c r="AV84" s="80" t="str">
        <f>_xlfn.IFNA(VLOOKUP(AD84,[14]Tipologías!$B$3:$G$17,4,0),"")</f>
        <v>INFORMACIÓN PÚBLICA CLASIFICADA</v>
      </c>
      <c r="AW84" s="80" t="str">
        <f t="shared" si="70"/>
        <v>IPC</v>
      </c>
      <c r="AX84" s="80" t="str">
        <f>_xlfn.IFNA(VLOOKUP(AD84,[14]Tipologías!$B$3:$G$17,3,0),"")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4" s="80" t="str">
        <f>_xlfn.IFNA(VLOOKUP(AD84,[14]Tipologías!$B$3:$G$17,5,0),"")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4" s="80" t="str">
        <f>_xlfn.IFNA(VLOOKUP(AD84,[14]Tipologías!$B$3:$G$17,6,0),"")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4" s="148" t="s">
        <v>197</v>
      </c>
      <c r="BB84" s="166">
        <v>45133</v>
      </c>
      <c r="BC84" s="148" t="s">
        <v>201</v>
      </c>
      <c r="BD84" s="146" t="s">
        <v>662</v>
      </c>
      <c r="BE84" s="146" t="s">
        <v>625</v>
      </c>
      <c r="BF84" s="45"/>
      <c r="BG84" s="45"/>
      <c r="BH84" s="45"/>
      <c r="BI84" s="45"/>
      <c r="BJ84" s="45"/>
      <c r="BK84" s="45"/>
      <c r="BL84" s="45"/>
      <c r="BM84" s="45"/>
      <c r="BN84" s="45"/>
      <c r="BO84" s="45"/>
      <c r="BP84" s="45"/>
      <c r="BQ84" s="45"/>
      <c r="BR84" s="45"/>
      <c r="BS84" s="45"/>
      <c r="BT84" s="45"/>
      <c r="BU84" s="45"/>
      <c r="BV84" s="45"/>
      <c r="BW84" s="45"/>
      <c r="BX84" s="45"/>
    </row>
    <row r="85" spans="1:76" s="67" customFormat="1" ht="207.75" customHeight="1" x14ac:dyDescent="0.2">
      <c r="A85" s="76">
        <v>76</v>
      </c>
      <c r="B85" s="110" t="s">
        <v>59</v>
      </c>
      <c r="C85" s="110" t="s">
        <v>302</v>
      </c>
      <c r="D85" s="100" t="s">
        <v>78</v>
      </c>
      <c r="E85" s="100" t="s">
        <v>666</v>
      </c>
      <c r="F85" s="111" t="s">
        <v>667</v>
      </c>
      <c r="G85" s="110" t="s">
        <v>141</v>
      </c>
      <c r="H85" s="111" t="s">
        <v>620</v>
      </c>
      <c r="I85" s="111" t="s">
        <v>284</v>
      </c>
      <c r="J85" s="115" t="s">
        <v>336</v>
      </c>
      <c r="K85" s="100" t="s">
        <v>320</v>
      </c>
      <c r="L85" s="111" t="s">
        <v>362</v>
      </c>
      <c r="M85" s="100" t="s">
        <v>195</v>
      </c>
      <c r="N85" s="111" t="s">
        <v>668</v>
      </c>
      <c r="O85" s="100" t="s">
        <v>151</v>
      </c>
      <c r="P85" s="100" t="s">
        <v>195</v>
      </c>
      <c r="Q85" s="148" t="s">
        <v>325</v>
      </c>
      <c r="R85" s="148"/>
      <c r="S85" s="100" t="s">
        <v>195</v>
      </c>
      <c r="T85" s="100" t="s">
        <v>195</v>
      </c>
      <c r="U85" s="146" t="s">
        <v>328</v>
      </c>
      <c r="V85" s="146" t="s">
        <v>328</v>
      </c>
      <c r="W85" s="146" t="s">
        <v>329</v>
      </c>
      <c r="X85" s="146" t="s">
        <v>329</v>
      </c>
      <c r="Y85" s="146" t="s">
        <v>329</v>
      </c>
      <c r="Z85" s="146" t="s">
        <v>329</v>
      </c>
      <c r="AA85" s="146" t="s">
        <v>328</v>
      </c>
      <c r="AB85" s="146" t="s">
        <v>328</v>
      </c>
      <c r="AC85" s="160" t="s">
        <v>195</v>
      </c>
      <c r="AD85" s="142" t="s">
        <v>89</v>
      </c>
      <c r="AE85" s="142" t="s">
        <v>130</v>
      </c>
      <c r="AF85" s="144" t="str">
        <f t="shared" si="64"/>
        <v>BAJO</v>
      </c>
      <c r="AG85" s="146" t="s">
        <v>104</v>
      </c>
      <c r="AH85" s="144" t="str">
        <f t="shared" si="65"/>
        <v>ALTO</v>
      </c>
      <c r="AI85" s="142" t="s">
        <v>115</v>
      </c>
      <c r="AJ85" s="146" t="s">
        <v>118</v>
      </c>
      <c r="AK85" s="144" t="str">
        <f t="shared" si="66"/>
        <v>ALTO</v>
      </c>
      <c r="AL85" s="80" t="str">
        <f>VLOOKUP($AD85,[14]Tipologías!$B$3:$G$17,2,FALSE)</f>
        <v>BAJO</v>
      </c>
      <c r="AM85" s="80">
        <f t="shared" si="52"/>
        <v>1</v>
      </c>
      <c r="AN85" s="80" t="str">
        <f>VLOOKUP($AE85,[14]Tipologías!$A$21:$C$24,3,FALSE)</f>
        <v>BAJO</v>
      </c>
      <c r="AO85" s="80">
        <f t="shared" si="53"/>
        <v>1</v>
      </c>
      <c r="AP85" s="80">
        <f>VLOOKUP($AI85,[14]Tipologías!$A$38:$B$42,2,FALSE)</f>
        <v>2</v>
      </c>
      <c r="AQ85" s="80">
        <f>VLOOKUP($AJ85,[14]Tipologías!$A$46:$B$53,2,FALSE)</f>
        <v>2.25</v>
      </c>
      <c r="AR85" s="80" t="str">
        <f t="shared" si="67"/>
        <v>BAJO</v>
      </c>
      <c r="AS85" s="80" t="str">
        <f>VLOOKUP($AG85,[14]Tipologías!$A$29:$C$33,3,FALSE)</f>
        <v>ALTO</v>
      </c>
      <c r="AT85" s="80" t="str">
        <f t="shared" si="68"/>
        <v>ALTO</v>
      </c>
      <c r="AU85" s="80" t="str">
        <f t="shared" si="69"/>
        <v>ALTO</v>
      </c>
      <c r="AV85" s="80" t="str">
        <f>_xlfn.IFNA(VLOOKUP(AD85,[14]Tipologías!$B$3:$G$17,4,0),"")</f>
        <v>INFORMACIÓN PÚBLICA</v>
      </c>
      <c r="AW85" s="80" t="str">
        <f t="shared" si="70"/>
        <v>IPB</v>
      </c>
      <c r="AX85" s="80" t="str">
        <f>_xlfn.IFNA(VLOOKUP(AD85,[14]Tipologías!$B$3:$G$17,3,0),"")</f>
        <v>LEY 1712 DE 2014 LEY DE TRANSPARENCIA Y DERECHO DE ACCESO A LA INFORMACIÓN. ARTÍCULO 6 DEFINICIONES LITERAL B.</v>
      </c>
      <c r="AY85" s="80" t="str">
        <f>_xlfn.IFNA(VLOOKUP(AD85,[14]Tipologías!$B$3:$G$17,5,0),"")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5" s="80" t="str">
        <f>_xlfn.IFNA(VLOOKUP(AD85,[14]Tipologías!$B$3:$G$17,6,0),"")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5" s="148" t="s">
        <v>198</v>
      </c>
      <c r="BB85" s="166">
        <v>45133</v>
      </c>
      <c r="BC85" s="148" t="s">
        <v>195</v>
      </c>
      <c r="BD85" s="146" t="s">
        <v>662</v>
      </c>
      <c r="BE85" s="146" t="s">
        <v>625</v>
      </c>
      <c r="BF85" s="45"/>
      <c r="BG85" s="45"/>
      <c r="BH85" s="45"/>
      <c r="BI85" s="45"/>
      <c r="BJ85" s="45"/>
      <c r="BK85" s="45"/>
      <c r="BL85" s="45"/>
      <c r="BM85" s="45"/>
      <c r="BN85" s="45"/>
      <c r="BO85" s="45"/>
      <c r="BP85" s="45"/>
      <c r="BQ85" s="45"/>
      <c r="BR85" s="45"/>
      <c r="BS85" s="45"/>
      <c r="BT85" s="45"/>
      <c r="BU85" s="45"/>
      <c r="BV85" s="45"/>
      <c r="BW85" s="45"/>
      <c r="BX85" s="45"/>
    </row>
    <row r="86" spans="1:76" s="67" customFormat="1" ht="207.75" customHeight="1" x14ac:dyDescent="0.2">
      <c r="A86" s="76">
        <v>77</v>
      </c>
      <c r="B86" s="110" t="s">
        <v>59</v>
      </c>
      <c r="C86" s="110" t="s">
        <v>302</v>
      </c>
      <c r="D86" s="100" t="s">
        <v>78</v>
      </c>
      <c r="E86" s="100" t="s">
        <v>395</v>
      </c>
      <c r="F86" s="110" t="s">
        <v>574</v>
      </c>
      <c r="G86" s="110" t="s">
        <v>139</v>
      </c>
      <c r="H86" s="111" t="s">
        <v>620</v>
      </c>
      <c r="I86" s="111" t="s">
        <v>620</v>
      </c>
      <c r="J86" s="154" t="s">
        <v>397</v>
      </c>
      <c r="K86" s="155" t="s">
        <v>320</v>
      </c>
      <c r="L86" s="134" t="s">
        <v>321</v>
      </c>
      <c r="M86" s="111" t="s">
        <v>78</v>
      </c>
      <c r="N86" s="111" t="s">
        <v>195</v>
      </c>
      <c r="O86" s="157" t="s">
        <v>151</v>
      </c>
      <c r="P86" s="157" t="s">
        <v>195</v>
      </c>
      <c r="Q86" s="148" t="s">
        <v>325</v>
      </c>
      <c r="R86" s="148" t="s">
        <v>325</v>
      </c>
      <c r="S86" s="157" t="s">
        <v>195</v>
      </c>
      <c r="T86" s="157" t="s">
        <v>195</v>
      </c>
      <c r="U86" s="146" t="s">
        <v>328</v>
      </c>
      <c r="V86" s="146" t="s">
        <v>328</v>
      </c>
      <c r="W86" s="146" t="s">
        <v>328</v>
      </c>
      <c r="X86" s="146" t="s">
        <v>329</v>
      </c>
      <c r="Y86" s="146" t="s">
        <v>329</v>
      </c>
      <c r="Z86" s="146" t="s">
        <v>329</v>
      </c>
      <c r="AA86" s="146" t="s">
        <v>195</v>
      </c>
      <c r="AB86" s="146" t="s">
        <v>195</v>
      </c>
      <c r="AC86" s="157" t="s">
        <v>195</v>
      </c>
      <c r="AD86" s="142" t="s">
        <v>216</v>
      </c>
      <c r="AE86" s="142" t="s">
        <v>134</v>
      </c>
      <c r="AF86" s="144" t="str">
        <f t="shared" si="64"/>
        <v>ALTO</v>
      </c>
      <c r="AG86" s="146" t="s">
        <v>101</v>
      </c>
      <c r="AH86" s="144" t="str">
        <f t="shared" si="65"/>
        <v>BAJO</v>
      </c>
      <c r="AI86" s="149" t="s">
        <v>114</v>
      </c>
      <c r="AJ86" s="146" t="s">
        <v>121</v>
      </c>
      <c r="AK86" s="144" t="str">
        <f t="shared" si="66"/>
        <v>MEDIO</v>
      </c>
      <c r="AL86" s="80" t="str">
        <f>VLOOKUP($AD86,[14]Tipologías!$B$3:$G$17,2,FALSE)</f>
        <v>ALTO</v>
      </c>
      <c r="AM86" s="80">
        <f t="shared" si="52"/>
        <v>3</v>
      </c>
      <c r="AN86" s="80" t="str">
        <f>VLOOKUP($AE86,[14]Tipologías!$A$21:$C$24,3,FALSE)</f>
        <v>ALTO</v>
      </c>
      <c r="AO86" s="80">
        <f t="shared" si="53"/>
        <v>3</v>
      </c>
      <c r="AP86" s="80">
        <f>VLOOKUP($AI86,[14]Tipologías!$A$38:$B$42,2,FALSE)</f>
        <v>1.5</v>
      </c>
      <c r="AQ86" s="80">
        <f>VLOOKUP($AJ86,[14]Tipologías!$A$46:$B$53,2,FALSE)</f>
        <v>1.25</v>
      </c>
      <c r="AR86" s="80" t="str">
        <f t="shared" si="67"/>
        <v>ALTO</v>
      </c>
      <c r="AS86" s="80" t="str">
        <f>VLOOKUP($AG86,[14]Tipologías!$A$29:$C$33,3,FALSE)</f>
        <v>BAJO</v>
      </c>
      <c r="AT86" s="80" t="str">
        <f t="shared" si="68"/>
        <v>MEDIO</v>
      </c>
      <c r="AU86" s="80" t="str">
        <f t="shared" si="69"/>
        <v>MEDIO</v>
      </c>
      <c r="AV86" s="80" t="str">
        <f>_xlfn.IFNA(VLOOKUP(AD86,[14]Tipologías!$B$3:$G$17,4,0),"")</f>
        <v>INFORMACIÓN PÚBLICA RESERVADA</v>
      </c>
      <c r="AW86" s="80" t="str">
        <f t="shared" si="70"/>
        <v>IPR</v>
      </c>
      <c r="AX86" s="80" t="str">
        <f>_xlfn.IFNA(VLOOKUP(AD86,[14]Tipologías!$B$3:$G$17,3,0),"")</f>
        <v>LEY 1712   DE 2014 ARTÍCULO 19 LITERAL H "LA ESTABILIDAD MACROECONÓMICA Y FINANCIERA DEL PAÍS."</v>
      </c>
      <c r="AY86" s="80" t="str">
        <f>_xlfn.IFNA(VLOOKUP(AD86,[14]Tipologías!$B$3:$G$17,5,0),"")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6" s="80" t="str">
        <f>_xlfn.IFNA(VLOOKUP(AD86,[14]Tipologías!$B$3:$G$17,6,0),"")</f>
        <v xml:space="preserve">LEY 1712 DE 2014 ARTÍCULO 19  </v>
      </c>
      <c r="BA86" s="148" t="s">
        <v>196</v>
      </c>
      <c r="BB86" s="166">
        <v>45133</v>
      </c>
      <c r="BC86" s="148" t="s">
        <v>195</v>
      </c>
      <c r="BD86" s="146" t="s">
        <v>669</v>
      </c>
      <c r="BE86" s="146" t="s">
        <v>625</v>
      </c>
      <c r="BF86" s="45"/>
      <c r="BG86" s="45"/>
      <c r="BH86" s="45"/>
      <c r="BI86" s="45"/>
      <c r="BJ86" s="45"/>
      <c r="BK86" s="45"/>
      <c r="BL86" s="45"/>
      <c r="BM86" s="45"/>
      <c r="BN86" s="45"/>
      <c r="BO86" s="45"/>
      <c r="BP86" s="45"/>
      <c r="BQ86" s="45"/>
      <c r="BR86" s="45"/>
      <c r="BS86" s="45"/>
      <c r="BT86" s="45"/>
      <c r="BU86" s="45"/>
      <c r="BV86" s="45"/>
      <c r="BW86" s="45"/>
      <c r="BX86" s="45"/>
    </row>
    <row r="87" spans="1:76" s="67" customFormat="1" ht="207.75" customHeight="1" x14ac:dyDescent="0.2">
      <c r="A87" s="76">
        <v>78</v>
      </c>
      <c r="B87" s="110" t="s">
        <v>59</v>
      </c>
      <c r="C87" s="110" t="s">
        <v>302</v>
      </c>
      <c r="D87" s="100" t="s">
        <v>78</v>
      </c>
      <c r="E87" s="109" t="s">
        <v>670</v>
      </c>
      <c r="F87" s="110" t="s">
        <v>671</v>
      </c>
      <c r="G87" s="110" t="s">
        <v>141</v>
      </c>
      <c r="H87" s="140" t="s">
        <v>620</v>
      </c>
      <c r="I87" s="140" t="s">
        <v>580</v>
      </c>
      <c r="J87" s="115" t="s">
        <v>336</v>
      </c>
      <c r="K87" s="156" t="s">
        <v>320</v>
      </c>
      <c r="L87" s="139" t="s">
        <v>321</v>
      </c>
      <c r="M87" s="109" t="s">
        <v>195</v>
      </c>
      <c r="N87" s="140" t="s">
        <v>581</v>
      </c>
      <c r="O87" s="109" t="s">
        <v>151</v>
      </c>
      <c r="P87" s="109" t="s">
        <v>540</v>
      </c>
      <c r="Q87" s="150" t="s">
        <v>325</v>
      </c>
      <c r="R87" s="150" t="s">
        <v>325</v>
      </c>
      <c r="S87" s="109" t="s">
        <v>672</v>
      </c>
      <c r="T87" s="115" t="s">
        <v>673</v>
      </c>
      <c r="U87" s="115" t="s">
        <v>328</v>
      </c>
      <c r="V87" s="115" t="s">
        <v>328</v>
      </c>
      <c r="W87" s="115" t="s">
        <v>328</v>
      </c>
      <c r="X87" s="115" t="s">
        <v>329</v>
      </c>
      <c r="Y87" s="115" t="s">
        <v>329</v>
      </c>
      <c r="Z87" s="115" t="s">
        <v>329</v>
      </c>
      <c r="AA87" s="115" t="s">
        <v>195</v>
      </c>
      <c r="AB87" s="115" t="s">
        <v>195</v>
      </c>
      <c r="AC87" s="115" t="s">
        <v>195</v>
      </c>
      <c r="AD87" s="110" t="s">
        <v>89</v>
      </c>
      <c r="AE87" s="110" t="s">
        <v>134</v>
      </c>
      <c r="AF87" s="80" t="str">
        <f t="shared" si="64"/>
        <v>ALTO</v>
      </c>
      <c r="AG87" s="115" t="s">
        <v>104</v>
      </c>
      <c r="AH87" s="80" t="str">
        <f t="shared" si="65"/>
        <v>ALTO</v>
      </c>
      <c r="AI87" s="80" t="s">
        <v>113</v>
      </c>
      <c r="AJ87" s="115" t="s">
        <v>123</v>
      </c>
      <c r="AK87" s="80" t="str">
        <f t="shared" si="66"/>
        <v>BAJO</v>
      </c>
      <c r="AL87" s="80" t="str">
        <f>VLOOKUP($AD87,[14]Tipologías!$B$3:$G$17,2,FALSE)</f>
        <v>BAJO</v>
      </c>
      <c r="AM87" s="80">
        <f t="shared" si="52"/>
        <v>1</v>
      </c>
      <c r="AN87" s="80" t="str">
        <f>VLOOKUP($AE87,[14]Tipologías!$A$21:$C$24,3,FALSE)</f>
        <v>ALTO</v>
      </c>
      <c r="AO87" s="80">
        <f t="shared" si="53"/>
        <v>3</v>
      </c>
      <c r="AP87" s="80">
        <f>VLOOKUP($AI87,[14]Tipologías!$A$38:$B$42,2,FALSE)</f>
        <v>1</v>
      </c>
      <c r="AQ87" s="80">
        <f>VLOOKUP($AJ87,[14]Tipologías!$A$46:$B$53,2,FALSE)</f>
        <v>0.5</v>
      </c>
      <c r="AR87" s="80" t="str">
        <f t="shared" si="67"/>
        <v>ALTO</v>
      </c>
      <c r="AS87" s="80" t="str">
        <f>VLOOKUP($AG87,[14]Tipologías!$A$29:$C$33,3,FALSE)</f>
        <v>ALTO</v>
      </c>
      <c r="AT87" s="80" t="str">
        <f t="shared" si="68"/>
        <v>BAJO</v>
      </c>
      <c r="AU87" s="80" t="str">
        <f t="shared" si="69"/>
        <v>ALTO</v>
      </c>
      <c r="AV87" s="80" t="str">
        <f>_xlfn.IFNA(VLOOKUP(AD87,[14]Tipologías!$B$3:$G$17,4,0),"")</f>
        <v>INFORMACIÓN PÚBLICA</v>
      </c>
      <c r="AW87" s="80" t="str">
        <f t="shared" si="70"/>
        <v>IPB</v>
      </c>
      <c r="AX87" s="80" t="str">
        <f>_xlfn.IFNA(VLOOKUP(AD87,[14]Tipologías!$B$3:$G$17,3,0),"")</f>
        <v>LEY 1712 DE 2014 LEY DE TRANSPARENCIA Y DERECHO DE ACCESO A LA INFORMACIÓN. ARTÍCULO 6 DEFINICIONES LITERAL B.</v>
      </c>
      <c r="AY87" s="80" t="str">
        <f>_xlfn.IFNA(VLOOKUP(AD87,[14]Tipologías!$B$3:$G$17,5,0),"")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7" s="80" t="str">
        <f>_xlfn.IFNA(VLOOKUP(AD87,[14]Tipologías!$B$3:$G$17,6,0),"")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7" s="115" t="s">
        <v>197</v>
      </c>
      <c r="BB87" s="167">
        <v>45133</v>
      </c>
      <c r="BC87" s="150" t="s">
        <v>195</v>
      </c>
      <c r="BD87" s="115" t="s">
        <v>674</v>
      </c>
      <c r="BE87" s="115" t="s">
        <v>625</v>
      </c>
      <c r="BF87" s="45"/>
      <c r="BG87" s="45"/>
      <c r="BH87" s="45"/>
      <c r="BI87" s="45"/>
      <c r="BJ87" s="45"/>
      <c r="BK87" s="45"/>
      <c r="BL87" s="45"/>
      <c r="BM87" s="45"/>
      <c r="BN87" s="45"/>
      <c r="BO87" s="45"/>
      <c r="BP87" s="45"/>
      <c r="BQ87" s="45"/>
      <c r="BR87" s="45"/>
      <c r="BS87" s="45"/>
      <c r="BT87" s="45"/>
      <c r="BU87" s="45"/>
      <c r="BV87" s="45"/>
      <c r="BW87" s="45"/>
      <c r="BX87" s="45"/>
    </row>
    <row r="88" spans="1:76" s="67" customFormat="1" ht="207.75" customHeight="1" x14ac:dyDescent="0.2">
      <c r="A88" s="76">
        <v>79</v>
      </c>
      <c r="B88" s="110" t="s">
        <v>59</v>
      </c>
      <c r="C88" s="110" t="s">
        <v>302</v>
      </c>
      <c r="D88" s="100" t="s">
        <v>78</v>
      </c>
      <c r="E88" s="109" t="s">
        <v>675</v>
      </c>
      <c r="F88" s="110" t="s">
        <v>671</v>
      </c>
      <c r="G88" s="110" t="s">
        <v>205</v>
      </c>
      <c r="H88" s="140" t="s">
        <v>620</v>
      </c>
      <c r="I88" s="140" t="s">
        <v>580</v>
      </c>
      <c r="J88" s="115" t="s">
        <v>336</v>
      </c>
      <c r="K88" s="156" t="s">
        <v>320</v>
      </c>
      <c r="L88" s="139" t="s">
        <v>321</v>
      </c>
      <c r="M88" s="109" t="s">
        <v>195</v>
      </c>
      <c r="N88" s="140" t="s">
        <v>581</v>
      </c>
      <c r="O88" s="109" t="s">
        <v>151</v>
      </c>
      <c r="P88" s="109" t="s">
        <v>540</v>
      </c>
      <c r="Q88" s="150" t="s">
        <v>325</v>
      </c>
      <c r="R88" s="150" t="s">
        <v>325</v>
      </c>
      <c r="S88" s="109" t="s">
        <v>355</v>
      </c>
      <c r="T88" s="115" t="s">
        <v>676</v>
      </c>
      <c r="U88" s="115" t="s">
        <v>328</v>
      </c>
      <c r="V88" s="115" t="s">
        <v>328</v>
      </c>
      <c r="W88" s="115" t="s">
        <v>328</v>
      </c>
      <c r="X88" s="115" t="s">
        <v>329</v>
      </c>
      <c r="Y88" s="115" t="s">
        <v>329</v>
      </c>
      <c r="Z88" s="115" t="s">
        <v>329</v>
      </c>
      <c r="AA88" s="115" t="s">
        <v>195</v>
      </c>
      <c r="AB88" s="115" t="s">
        <v>195</v>
      </c>
      <c r="AC88" s="115" t="s">
        <v>195</v>
      </c>
      <c r="AD88" s="110" t="s">
        <v>89</v>
      </c>
      <c r="AE88" s="110" t="s">
        <v>134</v>
      </c>
      <c r="AF88" s="80" t="str">
        <f t="shared" si="64"/>
        <v>ALTO</v>
      </c>
      <c r="AG88" s="115" t="s">
        <v>104</v>
      </c>
      <c r="AH88" s="80" t="str">
        <f t="shared" si="65"/>
        <v>ALTO</v>
      </c>
      <c r="AI88" s="80" t="s">
        <v>113</v>
      </c>
      <c r="AJ88" s="115" t="s">
        <v>120</v>
      </c>
      <c r="AK88" s="80" t="str">
        <f t="shared" si="66"/>
        <v>MEDIO</v>
      </c>
      <c r="AL88" s="80" t="str">
        <f>VLOOKUP($AD88,[14]Tipologías!$B$3:$G$17,2,FALSE)</f>
        <v>BAJO</v>
      </c>
      <c r="AM88" s="80">
        <f t="shared" si="52"/>
        <v>1</v>
      </c>
      <c r="AN88" s="80" t="str">
        <f>VLOOKUP($AE88,[14]Tipologías!$A$21:$C$24,3,FALSE)</f>
        <v>ALTO</v>
      </c>
      <c r="AO88" s="80">
        <f t="shared" si="53"/>
        <v>3</v>
      </c>
      <c r="AP88" s="80">
        <f>VLOOKUP($AI88,[14]Tipologías!$A$38:$B$42,2,FALSE)</f>
        <v>1</v>
      </c>
      <c r="AQ88" s="80">
        <f>VLOOKUP($AJ88,[14]Tipologías!$A$46:$B$53,2,FALSE)</f>
        <v>1.5</v>
      </c>
      <c r="AR88" s="80" t="str">
        <f t="shared" si="67"/>
        <v>ALTO</v>
      </c>
      <c r="AS88" s="80" t="str">
        <f>VLOOKUP($AG88,[14]Tipologías!$A$29:$C$33,3,FALSE)</f>
        <v>ALTO</v>
      </c>
      <c r="AT88" s="80" t="str">
        <f t="shared" si="68"/>
        <v>MEDIO</v>
      </c>
      <c r="AU88" s="80" t="str">
        <f t="shared" si="69"/>
        <v>ALTO</v>
      </c>
      <c r="AV88" s="80" t="str">
        <f>_xlfn.IFNA(VLOOKUP(AD88,[14]Tipologías!$B$3:$G$17,4,0),"")</f>
        <v>INFORMACIÓN PÚBLICA</v>
      </c>
      <c r="AW88" s="80" t="str">
        <f t="shared" si="70"/>
        <v>IPB</v>
      </c>
      <c r="AX88" s="80" t="str">
        <f>_xlfn.IFNA(VLOOKUP(AD88,[14]Tipologías!$B$3:$G$17,3,0),"")</f>
        <v>LEY 1712 DE 2014 LEY DE TRANSPARENCIA Y DERECHO DE ACCESO A LA INFORMACIÓN. ARTÍCULO 6 DEFINICIONES LITERAL B.</v>
      </c>
      <c r="AY88" s="80" t="str">
        <f>_xlfn.IFNA(VLOOKUP(AD88,[14]Tipologías!$B$3:$G$17,5,0),"")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8" s="80" t="str">
        <f>_xlfn.IFNA(VLOOKUP(AD88,[14]Tipologías!$B$3:$G$17,6,0),"")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8" s="115" t="s">
        <v>197</v>
      </c>
      <c r="BB88" s="167">
        <v>45133</v>
      </c>
      <c r="BC88" s="150" t="s">
        <v>195</v>
      </c>
      <c r="BD88" s="115" t="s">
        <v>677</v>
      </c>
      <c r="BE88" s="115" t="s">
        <v>625</v>
      </c>
      <c r="BF88" s="45"/>
      <c r="BG88" s="45"/>
      <c r="BH88" s="45"/>
      <c r="BI88" s="45"/>
      <c r="BJ88" s="45"/>
      <c r="BK88" s="45"/>
      <c r="BL88" s="45"/>
      <c r="BM88" s="45"/>
      <c r="BN88" s="45"/>
      <c r="BO88" s="45"/>
      <c r="BP88" s="45"/>
      <c r="BQ88" s="45"/>
      <c r="BR88" s="45"/>
      <c r="BS88" s="45"/>
      <c r="BT88" s="45"/>
      <c r="BU88" s="45"/>
      <c r="BV88" s="45"/>
      <c r="BW88" s="45"/>
      <c r="BX88" s="45"/>
    </row>
    <row r="89" spans="1:76" s="179" customFormat="1" ht="207.75" customHeight="1" x14ac:dyDescent="0.2">
      <c r="A89" s="76">
        <v>80</v>
      </c>
      <c r="B89" s="110" t="s">
        <v>62</v>
      </c>
      <c r="C89" s="110" t="s">
        <v>310</v>
      </c>
      <c r="D89" s="210" t="s">
        <v>285</v>
      </c>
      <c r="E89" s="210" t="s">
        <v>355</v>
      </c>
      <c r="F89" s="174" t="s">
        <v>678</v>
      </c>
      <c r="G89" s="110" t="s">
        <v>205</v>
      </c>
      <c r="H89" s="174" t="s">
        <v>285</v>
      </c>
      <c r="I89" s="174" t="s">
        <v>679</v>
      </c>
      <c r="J89" s="115" t="s">
        <v>336</v>
      </c>
      <c r="K89" s="210" t="s">
        <v>320</v>
      </c>
      <c r="L89" s="174" t="s">
        <v>321</v>
      </c>
      <c r="M89" s="175" t="s">
        <v>680</v>
      </c>
      <c r="N89" s="174" t="s">
        <v>681</v>
      </c>
      <c r="O89" s="175" t="s">
        <v>151</v>
      </c>
      <c r="P89" s="210" t="s">
        <v>682</v>
      </c>
      <c r="Q89" s="171" t="s">
        <v>325</v>
      </c>
      <c r="R89" s="171" t="s">
        <v>325</v>
      </c>
      <c r="S89" s="210" t="s">
        <v>355</v>
      </c>
      <c r="T89" s="210" t="s">
        <v>683</v>
      </c>
      <c r="U89" s="173" t="s">
        <v>328</v>
      </c>
      <c r="V89" s="173" t="s">
        <v>328</v>
      </c>
      <c r="W89" s="173" t="s">
        <v>328</v>
      </c>
      <c r="X89" s="173" t="s">
        <v>328</v>
      </c>
      <c r="Y89" s="173" t="s">
        <v>328</v>
      </c>
      <c r="Z89" s="173" t="s">
        <v>328</v>
      </c>
      <c r="AA89" s="173" t="s">
        <v>195</v>
      </c>
      <c r="AB89" s="173" t="s">
        <v>195</v>
      </c>
      <c r="AC89" s="176" t="s">
        <v>680</v>
      </c>
      <c r="AD89" s="177" t="s">
        <v>218</v>
      </c>
      <c r="AE89" s="177" t="s">
        <v>134</v>
      </c>
      <c r="AF89" s="178" t="s">
        <v>103</v>
      </c>
      <c r="AG89" s="173" t="s">
        <v>102</v>
      </c>
      <c r="AH89" s="178" t="str">
        <f t="shared" ref="AH89:AH94" si="71">_xlfn.IFNA((AS89),"")</f>
        <v>MEDIO</v>
      </c>
      <c r="AI89" s="177" t="s">
        <v>113</v>
      </c>
      <c r="AJ89" s="173" t="s">
        <v>123</v>
      </c>
      <c r="AK89" s="178" t="str">
        <f t="shared" ref="AK89:AK94" si="72">_xlfn.IFNA((AT89),"")</f>
        <v>BAJO</v>
      </c>
      <c r="AL89" s="80" t="str">
        <f>VLOOKUP($AD89,[15]Tipologías!$B$3:$G$17,2,0)</f>
        <v>ALTO</v>
      </c>
      <c r="AM89" s="80">
        <f t="shared" si="52"/>
        <v>3</v>
      </c>
      <c r="AN89" s="80" t="str">
        <f>VLOOKUP($AE89,[15]Tipologías!$A$21:$C$24,3,0)</f>
        <v>ALTO</v>
      </c>
      <c r="AO89" s="80">
        <f t="shared" si="53"/>
        <v>3</v>
      </c>
      <c r="AP89" s="80">
        <f>VLOOKUP($AI89,[15]Tipologías!$A$38:$B$42,2,0)</f>
        <v>1</v>
      </c>
      <c r="AQ89" s="80">
        <f>VLOOKUP($AJ89,[15]Tipologías!$A$46:$B$53,2,0)</f>
        <v>0.5</v>
      </c>
      <c r="AR89" s="80" t="str">
        <f t="shared" si="67"/>
        <v>ALTO</v>
      </c>
      <c r="AS89" s="80" t="str">
        <f>VLOOKUP($AG89,[15]Tipologías!$A$29:$C$33,3,0)</f>
        <v>MEDIO</v>
      </c>
      <c r="AT89" s="80" t="str">
        <f t="shared" si="68"/>
        <v>BAJO</v>
      </c>
      <c r="AU89" s="80" t="str">
        <f t="shared" si="69"/>
        <v>MEDIO</v>
      </c>
      <c r="AV89" s="80" t="str">
        <f>_xlfn.IFNA(VLOOKUP(AD89,[15]Tipologías!$B$3:$G$17,4,0),"")</f>
        <v>INFORMACIÓN PÚBLICA RESERVADA</v>
      </c>
      <c r="AW89" s="80" t="str">
        <f t="shared" si="70"/>
        <v>IPR</v>
      </c>
      <c r="AX89" s="80" t="str">
        <f>_xlfn.IFNA(VLOOKUP(AD89,[15]Tipologías!$B$3:$G$17,3,0),"")</f>
        <v>LEY 1712 DE 2014  ARTÍCULO 19 PARÁGRAFO "SE EXCEPTÚAN TAMBIÉN LOS DOCUMENTOS QUE CONTENGAN LAS OPINIONES O PUNTOS DE VISTA QUE FORMEN PARTE DEL PROCESO DELIBERATIVO DE LOS SERVIDORES PÚBLICOS."</v>
      </c>
      <c r="AY89" s="80" t="str">
        <f>_xlfn.IFNA(VLOOKUP(AD89,[15]Tipologías!$B$3:$G$17,5,0),"")</f>
        <v>LEY 1712 DE 2014 ARTÍCULO 19 PARÁGRAFO: SE EXCEPTÚAN TAMBIÉN LOS DOCUMENTOS QUE CONTENGAN LAS OPINIONES O PUNTOS DE VISTA QUE FORMEN PARTE DEL PROCESO DELIBERATIVO DE LOS SERVIDORES PÚBLICOS</v>
      </c>
      <c r="AZ89" s="80" t="str">
        <f>_xlfn.IFNA(VLOOKUP(AD89,[15]Tipologías!$B$3:$G$17,6,0),"")</f>
        <v xml:space="preserve">LEY 1712 DE 2014 ARTÍCULO 19  </v>
      </c>
      <c r="BA89" s="171" t="s">
        <v>197</v>
      </c>
      <c r="BB89" s="172">
        <v>45161</v>
      </c>
      <c r="BC89" s="171" t="s">
        <v>201</v>
      </c>
      <c r="BD89" s="173" t="s">
        <v>684</v>
      </c>
      <c r="BE89" s="173" t="s">
        <v>685</v>
      </c>
      <c r="BF89" s="161"/>
      <c r="BG89" s="161"/>
      <c r="BH89" s="161"/>
      <c r="BI89" s="161"/>
      <c r="BJ89" s="161"/>
      <c r="BK89" s="161"/>
      <c r="BL89" s="161"/>
      <c r="BM89" s="161"/>
      <c r="BN89" s="161"/>
      <c r="BO89" s="161"/>
      <c r="BP89" s="161"/>
      <c r="BQ89" s="161"/>
      <c r="BR89" s="161"/>
      <c r="BS89" s="161"/>
      <c r="BT89" s="161"/>
      <c r="BU89" s="161"/>
      <c r="BV89" s="161"/>
      <c r="BW89" s="161"/>
      <c r="BX89" s="161"/>
    </row>
    <row r="90" spans="1:76" s="179" customFormat="1" ht="207.75" customHeight="1" x14ac:dyDescent="0.2">
      <c r="A90" s="76">
        <v>81</v>
      </c>
      <c r="B90" s="110" t="s">
        <v>62</v>
      </c>
      <c r="C90" s="110" t="s">
        <v>310</v>
      </c>
      <c r="D90" s="210" t="s">
        <v>285</v>
      </c>
      <c r="E90" s="210" t="s">
        <v>355</v>
      </c>
      <c r="F90" s="174" t="s">
        <v>686</v>
      </c>
      <c r="G90" s="110" t="s">
        <v>205</v>
      </c>
      <c r="H90" s="174" t="s">
        <v>285</v>
      </c>
      <c r="I90" s="174" t="s">
        <v>679</v>
      </c>
      <c r="J90" s="115" t="s">
        <v>336</v>
      </c>
      <c r="K90" s="210" t="s">
        <v>320</v>
      </c>
      <c r="L90" s="174" t="s">
        <v>362</v>
      </c>
      <c r="M90" s="175" t="s">
        <v>680</v>
      </c>
      <c r="N90" s="174" t="s">
        <v>687</v>
      </c>
      <c r="O90" s="175" t="s">
        <v>151</v>
      </c>
      <c r="P90" s="210" t="s">
        <v>682</v>
      </c>
      <c r="Q90" s="171" t="s">
        <v>325</v>
      </c>
      <c r="R90" s="171" t="s">
        <v>325</v>
      </c>
      <c r="S90" s="210" t="s">
        <v>355</v>
      </c>
      <c r="T90" s="210" t="s">
        <v>688</v>
      </c>
      <c r="U90" s="173" t="s">
        <v>328</v>
      </c>
      <c r="V90" s="173" t="s">
        <v>328</v>
      </c>
      <c r="W90" s="173" t="s">
        <v>329</v>
      </c>
      <c r="X90" s="173" t="s">
        <v>329</v>
      </c>
      <c r="Y90" s="173" t="s">
        <v>329</v>
      </c>
      <c r="Z90" s="173" t="s">
        <v>329</v>
      </c>
      <c r="AA90" s="173" t="s">
        <v>195</v>
      </c>
      <c r="AB90" s="173" t="s">
        <v>328</v>
      </c>
      <c r="AC90" s="176" t="s">
        <v>680</v>
      </c>
      <c r="AD90" s="177" t="s">
        <v>89</v>
      </c>
      <c r="AE90" s="177" t="s">
        <v>130</v>
      </c>
      <c r="AF90" s="178" t="s">
        <v>90</v>
      </c>
      <c r="AG90" s="173" t="s">
        <v>100</v>
      </c>
      <c r="AH90" s="178" t="str">
        <f t="shared" si="71"/>
        <v>BAJO</v>
      </c>
      <c r="AI90" s="177" t="s">
        <v>109</v>
      </c>
      <c r="AJ90" s="173" t="s">
        <v>124</v>
      </c>
      <c r="AK90" s="178" t="str">
        <f t="shared" si="72"/>
        <v>BAJO</v>
      </c>
      <c r="AL90" s="80" t="str">
        <f>VLOOKUP($AD90,[15]Tipologías!$B$3:$G$17,2,0)</f>
        <v>BAJO</v>
      </c>
      <c r="AM90" s="80">
        <f t="shared" si="52"/>
        <v>1</v>
      </c>
      <c r="AN90" s="80" t="str">
        <f>VLOOKUP($AE90,[15]Tipologías!$A$21:$C$24,3,0)</f>
        <v>BAJO</v>
      </c>
      <c r="AO90" s="80">
        <f t="shared" si="53"/>
        <v>1</v>
      </c>
      <c r="AP90" s="80">
        <f>VLOOKUP($AI90,[15]Tipologías!$A$38:$B$42,2,0)</f>
        <v>0</v>
      </c>
      <c r="AQ90" s="80">
        <f>VLOOKUP($AJ90,[15]Tipologías!$A$46:$B$53,2,0)</f>
        <v>0.25</v>
      </c>
      <c r="AR90" s="80" t="str">
        <f t="shared" si="67"/>
        <v>BAJO</v>
      </c>
      <c r="AS90" s="80" t="str">
        <f>VLOOKUP($AG90,[15]Tipologías!$A$29:$C$33,3,0)</f>
        <v>BAJO</v>
      </c>
      <c r="AT90" s="80" t="str">
        <f t="shared" si="68"/>
        <v>BAJO</v>
      </c>
      <c r="AU90" s="80" t="str">
        <f t="shared" si="69"/>
        <v>BAJO</v>
      </c>
      <c r="AV90" s="80" t="str">
        <f>_xlfn.IFNA(VLOOKUP(AD90,[15]Tipologías!$B$3:$G$17,4,0),"")</f>
        <v>INFORMACIÓN PÚBLICA</v>
      </c>
      <c r="AW90" s="80" t="str">
        <f t="shared" si="70"/>
        <v>IPB</v>
      </c>
      <c r="AX90" s="80" t="str">
        <f>_xlfn.IFNA(VLOOKUP(AD90,[15]Tipologías!$B$3:$G$17,3,0),"")</f>
        <v>LEY 1712 DE 2014 LEY DE TRANSPARENCIA Y DERECHO DE ACCESO A LA INFORMACIÓN. ARTÍCULO 6 DEFINICIONES LITERAL B.</v>
      </c>
      <c r="AY90" s="80" t="str">
        <f>_xlfn.IFNA(VLOOKUP(AD90,[15]Tipologías!$B$3:$G$17,5,0),"")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0" s="80" t="str">
        <f>_xlfn.IFNA(VLOOKUP(AD90,[15]Tipologías!$B$3:$G$17,6,0),"")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0" s="171" t="s">
        <v>195</v>
      </c>
      <c r="BB90" s="172">
        <v>45161</v>
      </c>
      <c r="BC90" s="171" t="s">
        <v>195</v>
      </c>
      <c r="BD90" s="173" t="s">
        <v>689</v>
      </c>
      <c r="BE90" s="173" t="s">
        <v>685</v>
      </c>
      <c r="BF90" s="161"/>
      <c r="BG90" s="161"/>
      <c r="BH90" s="161"/>
      <c r="BI90" s="161"/>
      <c r="BJ90" s="161"/>
      <c r="BK90" s="161"/>
      <c r="BL90" s="161"/>
      <c r="BM90" s="161"/>
      <c r="BN90" s="161"/>
      <c r="BO90" s="161"/>
      <c r="BP90" s="161"/>
      <c r="BQ90" s="161"/>
      <c r="BR90" s="161"/>
      <c r="BS90" s="161"/>
      <c r="BT90" s="161"/>
      <c r="BU90" s="161"/>
      <c r="BV90" s="161"/>
      <c r="BW90" s="161"/>
      <c r="BX90" s="161"/>
    </row>
    <row r="91" spans="1:76" s="179" customFormat="1" ht="207.75" customHeight="1" x14ac:dyDescent="0.2">
      <c r="A91" s="76">
        <v>82</v>
      </c>
      <c r="B91" s="110" t="s">
        <v>62</v>
      </c>
      <c r="C91" s="110" t="s">
        <v>310</v>
      </c>
      <c r="D91" s="210" t="s">
        <v>285</v>
      </c>
      <c r="E91" s="210" t="s">
        <v>690</v>
      </c>
      <c r="F91" s="174" t="s">
        <v>691</v>
      </c>
      <c r="G91" s="110" t="s">
        <v>205</v>
      </c>
      <c r="H91" s="174" t="s">
        <v>285</v>
      </c>
      <c r="I91" s="174" t="s">
        <v>679</v>
      </c>
      <c r="J91" s="115" t="s">
        <v>336</v>
      </c>
      <c r="K91" s="210" t="s">
        <v>320</v>
      </c>
      <c r="L91" s="174" t="s">
        <v>321</v>
      </c>
      <c r="M91" s="175" t="s">
        <v>692</v>
      </c>
      <c r="N91" s="174" t="s">
        <v>681</v>
      </c>
      <c r="O91" s="175" t="s">
        <v>151</v>
      </c>
      <c r="P91" s="210" t="s">
        <v>682</v>
      </c>
      <c r="Q91" s="171" t="s">
        <v>325</v>
      </c>
      <c r="R91" s="171" t="s">
        <v>325</v>
      </c>
      <c r="S91" s="210" t="s">
        <v>693</v>
      </c>
      <c r="T91" s="210" t="s">
        <v>694</v>
      </c>
      <c r="U91" s="173" t="s">
        <v>328</v>
      </c>
      <c r="V91" s="173" t="s">
        <v>328</v>
      </c>
      <c r="W91" s="173" t="s">
        <v>329</v>
      </c>
      <c r="X91" s="173" t="s">
        <v>329</v>
      </c>
      <c r="Y91" s="173" t="s">
        <v>329</v>
      </c>
      <c r="Z91" s="173" t="s">
        <v>329</v>
      </c>
      <c r="AA91" s="173" t="s">
        <v>195</v>
      </c>
      <c r="AB91" s="173" t="s">
        <v>328</v>
      </c>
      <c r="AC91" s="176" t="s">
        <v>680</v>
      </c>
      <c r="AD91" s="177" t="s">
        <v>89</v>
      </c>
      <c r="AE91" s="177" t="s">
        <v>130</v>
      </c>
      <c r="AF91" s="178" t="s">
        <v>90</v>
      </c>
      <c r="AG91" s="173" t="s">
        <v>101</v>
      </c>
      <c r="AH91" s="178" t="str">
        <f t="shared" si="71"/>
        <v>BAJO</v>
      </c>
      <c r="AI91" s="177" t="s">
        <v>115</v>
      </c>
      <c r="AJ91" s="173" t="s">
        <v>121</v>
      </c>
      <c r="AK91" s="178" t="str">
        <f t="shared" si="72"/>
        <v>ALTO</v>
      </c>
      <c r="AL91" s="80" t="str">
        <f>VLOOKUP($AD91,[15]Tipologías!$B$3:$G$17,2,0)</f>
        <v>BAJO</v>
      </c>
      <c r="AM91" s="80">
        <f t="shared" si="52"/>
        <v>1</v>
      </c>
      <c r="AN91" s="80" t="str">
        <f>VLOOKUP($AE91,[15]Tipologías!$A$21:$C$24,3,0)</f>
        <v>BAJO</v>
      </c>
      <c r="AO91" s="80">
        <f t="shared" si="53"/>
        <v>1</v>
      </c>
      <c r="AP91" s="80">
        <f>VLOOKUP($AI91,[15]Tipologías!$A$38:$B$42,2,0)</f>
        <v>2</v>
      </c>
      <c r="AQ91" s="80">
        <f>VLOOKUP($AJ91,[15]Tipologías!$A$46:$B$53,2,0)</f>
        <v>1.25</v>
      </c>
      <c r="AR91" s="80" t="str">
        <f t="shared" si="67"/>
        <v>BAJO</v>
      </c>
      <c r="AS91" s="80" t="str">
        <f>VLOOKUP($AG91,[15]Tipologías!$A$29:$C$33,3,0)</f>
        <v>BAJO</v>
      </c>
      <c r="AT91" s="80" t="str">
        <f t="shared" si="68"/>
        <v>ALTO</v>
      </c>
      <c r="AU91" s="80" t="str">
        <f t="shared" si="69"/>
        <v>MEDIO</v>
      </c>
      <c r="AV91" s="80" t="str">
        <f>_xlfn.IFNA(VLOOKUP(AD91,[15]Tipologías!$B$3:$G$17,4,0),"")</f>
        <v>INFORMACIÓN PÚBLICA</v>
      </c>
      <c r="AW91" s="80" t="str">
        <f t="shared" si="70"/>
        <v>IPB</v>
      </c>
      <c r="AX91" s="80" t="str">
        <f>_xlfn.IFNA(VLOOKUP(AD91,[15]Tipologías!$B$3:$G$17,3,0),"")</f>
        <v>LEY 1712 DE 2014 LEY DE TRANSPARENCIA Y DERECHO DE ACCESO A LA INFORMACIÓN. ARTÍCULO 6 DEFINICIONES LITERAL B.</v>
      </c>
      <c r="AY91" s="80" t="str">
        <f>_xlfn.IFNA(VLOOKUP(AD91,[15]Tipologías!$B$3:$G$17,5,0),"")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1" s="80" t="str">
        <f>_xlfn.IFNA(VLOOKUP(AD91,[15]Tipologías!$B$3:$G$17,6,0),"")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1" s="171" t="s">
        <v>195</v>
      </c>
      <c r="BB91" s="172">
        <v>45161</v>
      </c>
      <c r="BC91" s="171" t="s">
        <v>195</v>
      </c>
      <c r="BD91" s="173" t="s">
        <v>689</v>
      </c>
      <c r="BE91" s="173" t="s">
        <v>685</v>
      </c>
      <c r="BF91" s="161"/>
      <c r="BG91" s="161"/>
      <c r="BH91" s="161"/>
      <c r="BI91" s="161"/>
      <c r="BJ91" s="161"/>
      <c r="BK91" s="161"/>
      <c r="BL91" s="161"/>
      <c r="BM91" s="161"/>
      <c r="BN91" s="161"/>
      <c r="BO91" s="161"/>
      <c r="BP91" s="161"/>
      <c r="BQ91" s="161"/>
      <c r="BR91" s="161"/>
      <c r="BS91" s="161"/>
      <c r="BT91" s="161"/>
      <c r="BU91" s="161"/>
      <c r="BV91" s="161"/>
      <c r="BW91" s="161"/>
      <c r="BX91" s="161"/>
    </row>
    <row r="92" spans="1:76" s="179" customFormat="1" ht="207.75" customHeight="1" x14ac:dyDescent="0.2">
      <c r="A92" s="76">
        <v>83</v>
      </c>
      <c r="B92" s="110" t="s">
        <v>62</v>
      </c>
      <c r="C92" s="110" t="s">
        <v>310</v>
      </c>
      <c r="D92" s="210" t="s">
        <v>285</v>
      </c>
      <c r="E92" s="210" t="s">
        <v>695</v>
      </c>
      <c r="F92" s="174" t="s">
        <v>696</v>
      </c>
      <c r="G92" s="110" t="s">
        <v>205</v>
      </c>
      <c r="H92" s="174" t="s">
        <v>285</v>
      </c>
      <c r="I92" s="174" t="s">
        <v>679</v>
      </c>
      <c r="J92" s="115" t="s">
        <v>336</v>
      </c>
      <c r="K92" s="210" t="s">
        <v>320</v>
      </c>
      <c r="L92" s="174" t="s">
        <v>321</v>
      </c>
      <c r="M92" s="175" t="s">
        <v>680</v>
      </c>
      <c r="N92" s="174" t="s">
        <v>681</v>
      </c>
      <c r="O92" s="175" t="s">
        <v>151</v>
      </c>
      <c r="P92" s="210" t="s">
        <v>682</v>
      </c>
      <c r="Q92" s="171" t="s">
        <v>325</v>
      </c>
      <c r="R92" s="171" t="s">
        <v>325</v>
      </c>
      <c r="S92" s="210" t="s">
        <v>697</v>
      </c>
      <c r="T92" s="173" t="s">
        <v>698</v>
      </c>
      <c r="U92" s="173" t="s">
        <v>328</v>
      </c>
      <c r="V92" s="173" t="s">
        <v>328</v>
      </c>
      <c r="W92" s="173" t="s">
        <v>328</v>
      </c>
      <c r="X92" s="173" t="s">
        <v>328</v>
      </c>
      <c r="Y92" s="173" t="s">
        <v>328</v>
      </c>
      <c r="Z92" s="173" t="s">
        <v>328</v>
      </c>
      <c r="AA92" s="173" t="s">
        <v>195</v>
      </c>
      <c r="AB92" s="173" t="s">
        <v>195</v>
      </c>
      <c r="AC92" s="176" t="s">
        <v>680</v>
      </c>
      <c r="AD92" s="177" t="s">
        <v>213</v>
      </c>
      <c r="AE92" s="177" t="s">
        <v>134</v>
      </c>
      <c r="AF92" s="178" t="s">
        <v>103</v>
      </c>
      <c r="AG92" s="173" t="s">
        <v>102</v>
      </c>
      <c r="AH92" s="178" t="str">
        <f t="shared" si="71"/>
        <v>MEDIO</v>
      </c>
      <c r="AI92" s="177" t="s">
        <v>113</v>
      </c>
      <c r="AJ92" s="173" t="s">
        <v>123</v>
      </c>
      <c r="AK92" s="178" t="str">
        <f t="shared" si="72"/>
        <v>BAJO</v>
      </c>
      <c r="AL92" s="80" t="str">
        <f>VLOOKUP($AD92,[15]Tipologías!$B$3:$G$17,2,0)</f>
        <v>ALTO</v>
      </c>
      <c r="AM92" s="80">
        <f t="shared" si="52"/>
        <v>3</v>
      </c>
      <c r="AN92" s="80" t="str">
        <f>VLOOKUP($AE92,[15]Tipologías!$A$21:$C$24,3,0)</f>
        <v>ALTO</v>
      </c>
      <c r="AO92" s="80">
        <f t="shared" si="53"/>
        <v>3</v>
      </c>
      <c r="AP92" s="80">
        <f>VLOOKUP($AI92,[15]Tipologías!$A$38:$B$42,2,0)</f>
        <v>1</v>
      </c>
      <c r="AQ92" s="80">
        <f>VLOOKUP($AJ92,[15]Tipologías!$A$46:$B$53,2,0)</f>
        <v>0.5</v>
      </c>
      <c r="AR92" s="80" t="str">
        <f t="shared" si="67"/>
        <v>ALTO</v>
      </c>
      <c r="AS92" s="80" t="str">
        <f>VLOOKUP($AG92,[15]Tipologías!$A$29:$C$33,3,0)</f>
        <v>MEDIO</v>
      </c>
      <c r="AT92" s="80" t="str">
        <f t="shared" si="68"/>
        <v>BAJO</v>
      </c>
      <c r="AU92" s="80" t="str">
        <f t="shared" si="69"/>
        <v>MEDIO</v>
      </c>
      <c r="AV92" s="80" t="str">
        <f>_xlfn.IFNA(VLOOKUP(AD92,[15]Tipologías!$B$3:$G$17,4,0),"")</f>
        <v>INFORMACIÓN PÚBLICA RESERVADA</v>
      </c>
      <c r="AW92" s="80" t="str">
        <f t="shared" si="70"/>
        <v>IPR</v>
      </c>
      <c r="AX92" s="80" t="str">
        <f>_xlfn.IFNA(VLOOKUP(AD92,[15]Tipologías!$B$3:$G$17,3,0),"")</f>
        <v>LEY 1712   DE 2014 ARTÍCULO 19 LITERAL E "EL DEBIDO PROCESO Y LA IGUALDAD DE LAS PARTES EN LOS PROCESOS JUDICIALES."</v>
      </c>
      <c r="AY92" s="80" t="str">
        <f>_xlfn.IFNA(VLOOKUP(AD92,[15]Tipologías!$B$3:$G$17,5,0),"")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92" s="80" t="str">
        <f>_xlfn.IFNA(VLOOKUP(AD92,[15]Tipologías!$B$3:$G$17,6,0),"")</f>
        <v>LEY 1712 DE 2014 ARTÍCULO 19   
LEY 1564  DE 2012 CÓDIGO GENERAL DEL PROCESO</v>
      </c>
      <c r="BA92" s="171" t="s">
        <v>197</v>
      </c>
      <c r="BB92" s="172">
        <v>45161</v>
      </c>
      <c r="BC92" s="171" t="s">
        <v>201</v>
      </c>
      <c r="BD92" s="173" t="s">
        <v>699</v>
      </c>
      <c r="BE92" s="173" t="s">
        <v>685</v>
      </c>
      <c r="BF92" s="161"/>
      <c r="BG92" s="161"/>
      <c r="BH92" s="161"/>
      <c r="BI92" s="161"/>
      <c r="BJ92" s="161"/>
      <c r="BK92" s="161"/>
      <c r="BL92" s="161"/>
      <c r="BM92" s="161"/>
      <c r="BN92" s="161"/>
      <c r="BO92" s="161"/>
      <c r="BP92" s="161"/>
      <c r="BQ92" s="161"/>
      <c r="BR92" s="161"/>
      <c r="BS92" s="161"/>
      <c r="BT92" s="161"/>
      <c r="BU92" s="161"/>
      <c r="BV92" s="161"/>
      <c r="BW92" s="161"/>
      <c r="BX92" s="161"/>
    </row>
    <row r="93" spans="1:76" s="179" customFormat="1" ht="207.75" customHeight="1" x14ac:dyDescent="0.2">
      <c r="A93" s="76">
        <v>84</v>
      </c>
      <c r="B93" s="110" t="s">
        <v>62</v>
      </c>
      <c r="C93" s="110" t="s">
        <v>310</v>
      </c>
      <c r="D93" s="210" t="s">
        <v>285</v>
      </c>
      <c r="E93" s="210" t="s">
        <v>406</v>
      </c>
      <c r="F93" s="174" t="s">
        <v>700</v>
      </c>
      <c r="G93" s="110" t="s">
        <v>205</v>
      </c>
      <c r="H93" s="174" t="s">
        <v>285</v>
      </c>
      <c r="I93" s="174" t="s">
        <v>679</v>
      </c>
      <c r="J93" s="115" t="s">
        <v>336</v>
      </c>
      <c r="K93" s="210" t="s">
        <v>320</v>
      </c>
      <c r="L93" s="174" t="s">
        <v>321</v>
      </c>
      <c r="M93" s="175" t="s">
        <v>680</v>
      </c>
      <c r="N93" s="174" t="s">
        <v>681</v>
      </c>
      <c r="O93" s="175" t="s">
        <v>146</v>
      </c>
      <c r="P93" s="210" t="s">
        <v>682</v>
      </c>
      <c r="Q93" s="171" t="s">
        <v>325</v>
      </c>
      <c r="R93" s="171" t="s">
        <v>325</v>
      </c>
      <c r="S93" s="210" t="s">
        <v>406</v>
      </c>
      <c r="T93" s="173" t="s">
        <v>315</v>
      </c>
      <c r="U93" s="173" t="s">
        <v>328</v>
      </c>
      <c r="V93" s="173" t="s">
        <v>328</v>
      </c>
      <c r="W93" s="173" t="s">
        <v>329</v>
      </c>
      <c r="X93" s="173" t="s">
        <v>329</v>
      </c>
      <c r="Y93" s="173" t="s">
        <v>329</v>
      </c>
      <c r="Z93" s="173" t="s">
        <v>329</v>
      </c>
      <c r="AA93" s="173" t="s">
        <v>195</v>
      </c>
      <c r="AB93" s="173" t="s">
        <v>195</v>
      </c>
      <c r="AC93" s="176" t="s">
        <v>680</v>
      </c>
      <c r="AD93" s="177" t="s">
        <v>89</v>
      </c>
      <c r="AE93" s="177" t="s">
        <v>130</v>
      </c>
      <c r="AF93" s="178" t="s">
        <v>539</v>
      </c>
      <c r="AG93" s="173" t="s">
        <v>100</v>
      </c>
      <c r="AH93" s="178" t="str">
        <f t="shared" si="71"/>
        <v>BAJO</v>
      </c>
      <c r="AI93" s="177" t="s">
        <v>109</v>
      </c>
      <c r="AJ93" s="173" t="s">
        <v>124</v>
      </c>
      <c r="AK93" s="178" t="str">
        <f t="shared" si="72"/>
        <v>BAJO</v>
      </c>
      <c r="AL93" s="80" t="str">
        <f>VLOOKUP($AD93,[15]Tipologías!$B$3:$G$17,2,0)</f>
        <v>BAJO</v>
      </c>
      <c r="AM93" s="80">
        <f t="shared" si="52"/>
        <v>1</v>
      </c>
      <c r="AN93" s="80" t="str">
        <f>VLOOKUP($AE93,[15]Tipologías!$A$21:$C$24,3,0)</f>
        <v>BAJO</v>
      </c>
      <c r="AO93" s="80">
        <f t="shared" si="53"/>
        <v>1</v>
      </c>
      <c r="AP93" s="80">
        <f>VLOOKUP($AI93,[15]Tipologías!$A$38:$B$42,2,0)</f>
        <v>0</v>
      </c>
      <c r="AQ93" s="80">
        <f>VLOOKUP($AJ93,[15]Tipologías!$A$46:$B$53,2,0)</f>
        <v>0.25</v>
      </c>
      <c r="AR93" s="80" t="str">
        <f t="shared" si="67"/>
        <v>BAJO</v>
      </c>
      <c r="AS93" s="80" t="str">
        <f>VLOOKUP($AG93,[15]Tipologías!$A$29:$C$33,3,0)</f>
        <v>BAJO</v>
      </c>
      <c r="AT93" s="80" t="str">
        <f t="shared" si="68"/>
        <v>BAJO</v>
      </c>
      <c r="AU93" s="80" t="str">
        <f t="shared" si="69"/>
        <v>BAJO</v>
      </c>
      <c r="AV93" s="80" t="str">
        <f>_xlfn.IFNA(VLOOKUP(AD93,[15]Tipologías!$B$3:$G$17,4,0),"")</f>
        <v>INFORMACIÓN PÚBLICA</v>
      </c>
      <c r="AW93" s="80" t="str">
        <f t="shared" si="70"/>
        <v>IPB</v>
      </c>
      <c r="AX93" s="80" t="str">
        <f>_xlfn.IFNA(VLOOKUP(AD93,[15]Tipologías!$B$3:$G$17,3,0),"")</f>
        <v>LEY 1712 DE 2014 LEY DE TRANSPARENCIA Y DERECHO DE ACCESO A LA INFORMACIÓN. ARTÍCULO 6 DEFINICIONES LITERAL B.</v>
      </c>
      <c r="AY93" s="80" t="str">
        <f>_xlfn.IFNA(VLOOKUP(AD93,[15]Tipologías!$B$3:$G$17,5,0),"")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3" s="80" t="str">
        <f>_xlfn.IFNA(VLOOKUP(AD93,[15]Tipologías!$B$3:$G$17,6,0),"")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3" s="171" t="s">
        <v>195</v>
      </c>
      <c r="BB93" s="172">
        <v>45161</v>
      </c>
      <c r="BC93" s="171" t="s">
        <v>195</v>
      </c>
      <c r="BD93" s="173" t="s">
        <v>684</v>
      </c>
      <c r="BE93" s="173" t="s">
        <v>685</v>
      </c>
      <c r="BF93" s="161"/>
      <c r="BG93" s="161"/>
      <c r="BH93" s="161"/>
      <c r="BI93" s="161"/>
      <c r="BJ93" s="161"/>
      <c r="BK93" s="161"/>
      <c r="BL93" s="161"/>
      <c r="BM93" s="161"/>
      <c r="BN93" s="161"/>
      <c r="BO93" s="161"/>
      <c r="BP93" s="161"/>
      <c r="BQ93" s="161"/>
      <c r="BR93" s="161"/>
      <c r="BS93" s="161"/>
      <c r="BT93" s="161"/>
      <c r="BU93" s="161"/>
      <c r="BV93" s="161"/>
      <c r="BW93" s="161"/>
      <c r="BX93" s="161"/>
    </row>
    <row r="94" spans="1:76" s="67" customFormat="1" ht="207.75" customHeight="1" x14ac:dyDescent="0.2">
      <c r="A94" s="76">
        <v>85</v>
      </c>
      <c r="B94" s="74" t="s">
        <v>59</v>
      </c>
      <c r="C94" s="74" t="s">
        <v>302</v>
      </c>
      <c r="D94" s="100" t="s">
        <v>283</v>
      </c>
      <c r="E94" s="100" t="s">
        <v>701</v>
      </c>
      <c r="F94" s="75" t="s">
        <v>702</v>
      </c>
      <c r="G94" s="74" t="s">
        <v>140</v>
      </c>
      <c r="H94" s="75" t="s">
        <v>703</v>
      </c>
      <c r="I94" s="75" t="s">
        <v>374</v>
      </c>
      <c r="J94" s="107" t="s">
        <v>336</v>
      </c>
      <c r="K94" s="100" t="s">
        <v>320</v>
      </c>
      <c r="L94" s="75" t="s">
        <v>321</v>
      </c>
      <c r="M94" s="116" t="s">
        <v>195</v>
      </c>
      <c r="N94" s="75" t="s">
        <v>704</v>
      </c>
      <c r="O94" s="116" t="s">
        <v>151</v>
      </c>
      <c r="P94" s="212" t="s">
        <v>705</v>
      </c>
      <c r="Q94" s="76" t="s">
        <v>195</v>
      </c>
      <c r="R94" s="76" t="s">
        <v>325</v>
      </c>
      <c r="S94" s="100" t="s">
        <v>195</v>
      </c>
      <c r="T94" s="100" t="s">
        <v>195</v>
      </c>
      <c r="U94" s="77" t="s">
        <v>329</v>
      </c>
      <c r="V94" s="77" t="s">
        <v>195</v>
      </c>
      <c r="W94" s="77" t="s">
        <v>195</v>
      </c>
      <c r="X94" s="77" t="s">
        <v>195</v>
      </c>
      <c r="Y94" s="77" t="s">
        <v>195</v>
      </c>
      <c r="Z94" s="77" t="s">
        <v>195</v>
      </c>
      <c r="AA94" s="77" t="s">
        <v>195</v>
      </c>
      <c r="AB94" s="77" t="s">
        <v>195</v>
      </c>
      <c r="AC94" s="138" t="s">
        <v>195</v>
      </c>
      <c r="AD94" s="142" t="s">
        <v>208</v>
      </c>
      <c r="AE94" s="142" t="s">
        <v>134</v>
      </c>
      <c r="AF94" s="136" t="str">
        <f>AR94</f>
        <v>ALTO</v>
      </c>
      <c r="AG94" s="77" t="s">
        <v>102</v>
      </c>
      <c r="AH94" s="136" t="str">
        <f t="shared" si="71"/>
        <v>MEDIO</v>
      </c>
      <c r="AI94" s="78" t="s">
        <v>113</v>
      </c>
      <c r="AJ94" s="77" t="s">
        <v>120</v>
      </c>
      <c r="AK94" s="136" t="str">
        <f t="shared" si="72"/>
        <v>MEDIO</v>
      </c>
      <c r="AL94" s="80" t="str">
        <f>VLOOKUP($AD94,[16]Tipologías!$B$3:$G$17,2,FALSE)</f>
        <v>ALTO</v>
      </c>
      <c r="AM94" s="80">
        <f t="shared" si="52"/>
        <v>3</v>
      </c>
      <c r="AN94" s="80" t="str">
        <f>VLOOKUP($AE94,[16]Tipologías!$A$21:$C$24,3,FALSE)</f>
        <v>ALTO</v>
      </c>
      <c r="AO94" s="80">
        <f t="shared" si="53"/>
        <v>3</v>
      </c>
      <c r="AP94" s="80">
        <f>VLOOKUP($AI94,[16]Tipologías!$A$38:$B$42,2,FALSE)</f>
        <v>1</v>
      </c>
      <c r="AQ94" s="80">
        <f>VLOOKUP($AJ94,[16]Tipologías!$A$46:$B$53,2,FALSE)</f>
        <v>1.5</v>
      </c>
      <c r="AR94" s="80" t="str">
        <f>IF(MAX(AM94,AO94)=3,"ALTO",IF(MAX(AM94,AO94)=2,"MEDIO",IF(MAX(AM94,AO94)=1,"BAJO","  ")))</f>
        <v>ALTO</v>
      </c>
      <c r="AS94" s="80" t="str">
        <f>VLOOKUP($AG94,[16]Tipologías!$A$29:$C$33,3,FALSE)</f>
        <v>MEDIO</v>
      </c>
      <c r="AT94" s="80" t="str">
        <f>IF(SUM($AP94,$AQ94)&gt;=3,"ALTO",IF(SUM($AP94,$AQ94)&lt;2,"BAJO","MEDIO"))</f>
        <v>MEDIO</v>
      </c>
      <c r="AU94" s="80" t="str">
        <f>_xlfn.IFNA(IF(AND(AR94="BAJO",AS94="BAJO",AT94="BAJO"),"BAJO",IF(AND(AR94="ALTO",AS94="ALTO",AT94="ALTO"),"ALTO",IF(COUNTIF(AR94:AT94,"ALTO")=2,"ALTO","MEDIO")))," ")</f>
        <v>MEDIO</v>
      </c>
      <c r="AV94" s="80" t="str">
        <f>_xlfn.IFNA(VLOOKUP(AD94,[16]Tipologías!$B$3:$G$17,4,0),"")</f>
        <v>INFORMACIÓN PÚBLICA CLASIFICADA</v>
      </c>
      <c r="AW94" s="80" t="str">
        <f>IF(AV94="INFORMACIÓN PÚBLICA","IPB",IF(AV94="INFORMACIÓN PÚBLICA CLASIFICADA","IPC",IF(AV94="INFORMACIÓN PÚBLICA RESERVADA","IPR",IF(AV94="",""))))</f>
        <v>IPC</v>
      </c>
      <c r="AX94" s="80" t="str">
        <f>_xlfn.IFNA(VLOOKUP(AD94,[16]Tipologías!$B$3:$G$17,3,0),"")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94" s="80" t="str">
        <f>_xlfn.IFNA(VLOOKUP(AD94,[16]Tipologías!$B$3:$G$17,5,0),"")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94" s="80" t="str">
        <f>_xlfn.IFNA(VLOOKUP(AD94,[16]Tipologías!$B$3:$G$17,6,0),"")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94" s="148" t="s">
        <v>196</v>
      </c>
      <c r="BB94" s="166">
        <v>45154</v>
      </c>
      <c r="BC94" s="148" t="s">
        <v>201</v>
      </c>
      <c r="BD94" s="146" t="s">
        <v>706</v>
      </c>
      <c r="BE94" s="146" t="s">
        <v>707</v>
      </c>
      <c r="BF94" s="45"/>
      <c r="BG94" s="45"/>
      <c r="BH94" s="45"/>
      <c r="BI94" s="45"/>
      <c r="BJ94" s="45"/>
      <c r="BK94" s="45"/>
      <c r="BL94" s="45"/>
      <c r="BM94" s="45"/>
      <c r="BN94" s="45"/>
      <c r="BO94" s="45"/>
      <c r="BP94" s="45"/>
      <c r="BQ94" s="45"/>
      <c r="BR94" s="45"/>
      <c r="BS94" s="45"/>
      <c r="BT94" s="45"/>
      <c r="BU94" s="45"/>
      <c r="BV94" s="45"/>
      <c r="BW94" s="45"/>
      <c r="BX94" s="45"/>
    </row>
    <row r="95" spans="1:76" s="67" customFormat="1" ht="207.75" customHeight="1" x14ac:dyDescent="0.2">
      <c r="A95" s="76">
        <v>86</v>
      </c>
      <c r="B95" s="74" t="s">
        <v>59</v>
      </c>
      <c r="C95" s="74" t="s">
        <v>302</v>
      </c>
      <c r="D95" s="100" t="s">
        <v>283</v>
      </c>
      <c r="E95" s="100" t="s">
        <v>708</v>
      </c>
      <c r="F95" s="75" t="s">
        <v>709</v>
      </c>
      <c r="G95" s="74" t="s">
        <v>205</v>
      </c>
      <c r="H95" s="75" t="s">
        <v>703</v>
      </c>
      <c r="I95" s="75" t="s">
        <v>710</v>
      </c>
      <c r="J95" s="107" t="s">
        <v>319</v>
      </c>
      <c r="K95" s="100" t="s">
        <v>320</v>
      </c>
      <c r="L95" s="75" t="s">
        <v>321</v>
      </c>
      <c r="M95" s="75" t="s">
        <v>711</v>
      </c>
      <c r="N95" s="75" t="s">
        <v>681</v>
      </c>
      <c r="O95" s="116" t="s">
        <v>151</v>
      </c>
      <c r="P95" s="100" t="s">
        <v>540</v>
      </c>
      <c r="Q95" s="76" t="s">
        <v>325</v>
      </c>
      <c r="R95" s="76" t="s">
        <v>325</v>
      </c>
      <c r="S95" s="100" t="s">
        <v>712</v>
      </c>
      <c r="T95" s="100" t="s">
        <v>712</v>
      </c>
      <c r="U95" s="77" t="s">
        <v>328</v>
      </c>
      <c r="V95" s="77" t="s">
        <v>328</v>
      </c>
      <c r="W95" s="77" t="s">
        <v>329</v>
      </c>
      <c r="X95" s="77" t="s">
        <v>329</v>
      </c>
      <c r="Y95" s="77" t="s">
        <v>329</v>
      </c>
      <c r="Z95" s="77" t="s">
        <v>329</v>
      </c>
      <c r="AA95" s="77" t="s">
        <v>328</v>
      </c>
      <c r="AB95" s="77" t="s">
        <v>328</v>
      </c>
      <c r="AC95" s="138" t="s">
        <v>195</v>
      </c>
      <c r="AD95" s="142" t="s">
        <v>206</v>
      </c>
      <c r="AE95" s="142" t="s">
        <v>132</v>
      </c>
      <c r="AF95" s="136" t="str">
        <f t="shared" ref="AF95:AF97" si="73">AR95</f>
        <v>ALTO</v>
      </c>
      <c r="AG95" s="77" t="s">
        <v>104</v>
      </c>
      <c r="AH95" s="136" t="str">
        <f t="shared" ref="AH95:AH97" si="74">_xlfn.IFNA((AS95),"")</f>
        <v>ALTO</v>
      </c>
      <c r="AI95" s="78" t="s">
        <v>115</v>
      </c>
      <c r="AJ95" s="77" t="s">
        <v>122</v>
      </c>
      <c r="AK95" s="136" t="str">
        <f t="shared" ref="AK95:AK97" si="75">_xlfn.IFNA((AT95),"")</f>
        <v>ALTO</v>
      </c>
      <c r="AL95" s="80" t="str">
        <f>VLOOKUP($AD95,[16]Tipologías!$B$3:$G$17,2,FALSE)</f>
        <v>ALTO</v>
      </c>
      <c r="AM95" s="80">
        <f t="shared" si="52"/>
        <v>3</v>
      </c>
      <c r="AN95" s="80" t="str">
        <f>VLOOKUP($AE95,[16]Tipologías!$A$21:$C$24,3,FALSE)</f>
        <v>MEDIO</v>
      </c>
      <c r="AO95" s="80">
        <f t="shared" si="53"/>
        <v>2</v>
      </c>
      <c r="AP95" s="80">
        <f>VLOOKUP($AI95,[16]Tipologías!$A$38:$B$42,2,FALSE)</f>
        <v>2</v>
      </c>
      <c r="AQ95" s="80">
        <f>VLOOKUP($AJ95,[16]Tipologías!$A$46:$B$53,2,FALSE)</f>
        <v>1</v>
      </c>
      <c r="AR95" s="80" t="str">
        <f>IF(MAX(AM95,AO95)=3,"ALTO",IF(MAX(AM95,AO95)=2,"MEDIO",IF(MAX(AM95,AO95)=1,"BAJO","  ")))</f>
        <v>ALTO</v>
      </c>
      <c r="AS95" s="80" t="str">
        <f>VLOOKUP($AG95,[16]Tipologías!$A$29:$C$33,3,FALSE)</f>
        <v>ALTO</v>
      </c>
      <c r="AT95" s="80" t="str">
        <f>IF(SUM($AP95,$AQ95)&gt;=3,"ALTO",IF(SUM($AP95,$AQ95)&lt;2,"BAJO","MEDIO"))</f>
        <v>ALTO</v>
      </c>
      <c r="AU95" s="80" t="str">
        <f>_xlfn.IFNA(IF(AND(AR95="BAJO",AS95="BAJO",AT95="BAJO"),"BAJO",IF(AND(AR95="ALTO",AS95="ALTO",AT95="ALTO"),"ALTO",IF(COUNTIF(AR95:AT95,"ALTO")=2,"ALTO","MEDIO")))," ")</f>
        <v>ALTO</v>
      </c>
      <c r="AV95" s="80" t="str">
        <f>_xlfn.IFNA(VLOOKUP(AD95,[16]Tipologías!$B$3:$G$17,4,0),"")</f>
        <v>INFORMACIÓN PÚBLICA CLASIFICADA</v>
      </c>
      <c r="AW95" s="80" t="str">
        <f>IF(AV95="INFORMACIÓN PÚBLICA","IPB",IF(AV95="INFORMACIÓN PÚBLICA CLASIFICADA","IPC",IF(AV95="INFORMACIÓN PÚBLICA RESERVADA","IPR",IF(AV95="",""))))</f>
        <v>IPC</v>
      </c>
      <c r="AX95" s="80" t="str">
        <f>_xlfn.IFNA(VLOOKUP(AD95,[16]Tipologías!$B$3:$G$17,3,0),"")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5" s="80" t="str">
        <f>_xlfn.IFNA(VLOOKUP(AD95,[16]Tipologías!$B$3:$G$17,5,0),"")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5" s="80" t="str">
        <f>_xlfn.IFNA(VLOOKUP(AD95,[16]Tipologías!$B$3:$G$17,6,0),"")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5" s="148" t="s">
        <v>197</v>
      </c>
      <c r="BB95" s="166">
        <v>45154</v>
      </c>
      <c r="BC95" s="148" t="s">
        <v>201</v>
      </c>
      <c r="BD95" s="146" t="s">
        <v>706</v>
      </c>
      <c r="BE95" s="146" t="s">
        <v>707</v>
      </c>
      <c r="BF95" s="45"/>
      <c r="BG95" s="45"/>
      <c r="BH95" s="45"/>
      <c r="BI95" s="45"/>
      <c r="BJ95" s="45"/>
      <c r="BK95" s="45"/>
      <c r="BL95" s="45"/>
      <c r="BM95" s="45"/>
      <c r="BN95" s="45"/>
      <c r="BO95" s="45"/>
      <c r="BP95" s="45"/>
      <c r="BQ95" s="45"/>
      <c r="BR95" s="45"/>
      <c r="BS95" s="45"/>
      <c r="BT95" s="45"/>
      <c r="BU95" s="45"/>
      <c r="BV95" s="45"/>
      <c r="BW95" s="45"/>
      <c r="BX95" s="45"/>
    </row>
    <row r="96" spans="1:76" s="67" customFormat="1" ht="207.75" customHeight="1" x14ac:dyDescent="0.2">
      <c r="A96" s="76">
        <v>87</v>
      </c>
      <c r="B96" s="74" t="s">
        <v>59</v>
      </c>
      <c r="C96" s="74" t="s">
        <v>302</v>
      </c>
      <c r="D96" s="100" t="s">
        <v>283</v>
      </c>
      <c r="E96" s="100" t="s">
        <v>713</v>
      </c>
      <c r="F96" s="75" t="s">
        <v>714</v>
      </c>
      <c r="G96" s="74" t="s">
        <v>205</v>
      </c>
      <c r="H96" s="75" t="s">
        <v>703</v>
      </c>
      <c r="I96" s="75" t="s">
        <v>715</v>
      </c>
      <c r="J96" s="107" t="s">
        <v>319</v>
      </c>
      <c r="K96" s="100" t="s">
        <v>320</v>
      </c>
      <c r="L96" s="75" t="s">
        <v>321</v>
      </c>
      <c r="M96" s="75" t="s">
        <v>711</v>
      </c>
      <c r="N96" s="75" t="s">
        <v>681</v>
      </c>
      <c r="O96" s="116" t="s">
        <v>151</v>
      </c>
      <c r="P96" s="100" t="s">
        <v>540</v>
      </c>
      <c r="Q96" s="76" t="s">
        <v>325</v>
      </c>
      <c r="R96" s="76" t="s">
        <v>325</v>
      </c>
      <c r="S96" s="100" t="s">
        <v>716</v>
      </c>
      <c r="T96" s="100" t="s">
        <v>716</v>
      </c>
      <c r="U96" s="77" t="s">
        <v>328</v>
      </c>
      <c r="V96" s="77" t="s">
        <v>328</v>
      </c>
      <c r="W96" s="77" t="s">
        <v>329</v>
      </c>
      <c r="X96" s="77" t="s">
        <v>329</v>
      </c>
      <c r="Y96" s="77" t="s">
        <v>329</v>
      </c>
      <c r="Z96" s="77" t="s">
        <v>329</v>
      </c>
      <c r="AA96" s="77" t="s">
        <v>328</v>
      </c>
      <c r="AB96" s="77" t="s">
        <v>328</v>
      </c>
      <c r="AC96" s="138" t="s">
        <v>195</v>
      </c>
      <c r="AD96" s="142" t="s">
        <v>206</v>
      </c>
      <c r="AE96" s="142" t="s">
        <v>132</v>
      </c>
      <c r="AF96" s="136" t="str">
        <f t="shared" si="73"/>
        <v>ALTO</v>
      </c>
      <c r="AG96" s="77" t="s">
        <v>104</v>
      </c>
      <c r="AH96" s="136" t="str">
        <f t="shared" si="74"/>
        <v>ALTO</v>
      </c>
      <c r="AI96" s="78" t="s">
        <v>115</v>
      </c>
      <c r="AJ96" s="77" t="s">
        <v>122</v>
      </c>
      <c r="AK96" s="136" t="str">
        <f t="shared" si="75"/>
        <v>ALTO</v>
      </c>
      <c r="AL96" s="80" t="str">
        <f>VLOOKUP($AD96,[16]Tipologías!$B$3:$G$17,2,FALSE)</f>
        <v>ALTO</v>
      </c>
      <c r="AM96" s="80">
        <f t="shared" si="52"/>
        <v>3</v>
      </c>
      <c r="AN96" s="80" t="str">
        <f>VLOOKUP($AE96,[16]Tipologías!$A$21:$C$24,3,FALSE)</f>
        <v>MEDIO</v>
      </c>
      <c r="AO96" s="80">
        <f t="shared" si="53"/>
        <v>2</v>
      </c>
      <c r="AP96" s="80">
        <f>VLOOKUP($AI96,[16]Tipologías!$A$38:$B$42,2,FALSE)</f>
        <v>2</v>
      </c>
      <c r="AQ96" s="80">
        <f>VLOOKUP($AJ96,[16]Tipologías!$A$46:$B$53,2,FALSE)</f>
        <v>1</v>
      </c>
      <c r="AR96" s="80" t="str">
        <f t="shared" ref="AR96:AR97" si="76">IF(MAX(AM96,AO96)=3,"ALTO",IF(MAX(AM96,AO96)=2,"MEDIO",IF(MAX(AM96,AO96)=1,"BAJO","  ")))</f>
        <v>ALTO</v>
      </c>
      <c r="AS96" s="80" t="str">
        <f>VLOOKUP($AG96,[16]Tipologías!$A$29:$C$33,3,FALSE)</f>
        <v>ALTO</v>
      </c>
      <c r="AT96" s="80" t="str">
        <f t="shared" ref="AT96:AT97" si="77">IF(SUM($AP96,$AQ96)&gt;=3,"ALTO",IF(SUM($AP96,$AQ96)&lt;2,"BAJO","MEDIO"))</f>
        <v>ALTO</v>
      </c>
      <c r="AU96" s="80" t="str">
        <f t="shared" ref="AU96:AU97" si="78">_xlfn.IFNA(IF(AND(AR96="BAJO",AS96="BAJO",AT96="BAJO"),"BAJO",IF(AND(AR96="ALTO",AS96="ALTO",AT96="ALTO"),"ALTO",IF(COUNTIF(AR96:AT96,"ALTO")=2,"ALTO","MEDIO")))," ")</f>
        <v>ALTO</v>
      </c>
      <c r="AV96" s="80" t="str">
        <f>_xlfn.IFNA(VLOOKUP(AD96,[16]Tipologías!$B$3:$G$17,4,0),"")</f>
        <v>INFORMACIÓN PÚBLICA CLASIFICADA</v>
      </c>
      <c r="AW96" s="80" t="str">
        <f t="shared" ref="AW96:AW97" si="79">IF(AV96="INFORMACIÓN PÚBLICA","IPB",IF(AV96="INFORMACIÓN PÚBLICA CLASIFICADA","IPC",IF(AV96="INFORMACIÓN PÚBLICA RESERVADA","IPR",IF(AV96="",""))))</f>
        <v>IPC</v>
      </c>
      <c r="AX96" s="80" t="str">
        <f>_xlfn.IFNA(VLOOKUP(AD96,[16]Tipologías!$B$3:$G$17,3,0),"")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6" s="80" t="str">
        <f>_xlfn.IFNA(VLOOKUP(AD96,[16]Tipologías!$B$3:$G$17,5,0),"")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6" s="80" t="str">
        <f>_xlfn.IFNA(VLOOKUP(AD96,[16]Tipologías!$B$3:$G$17,6,0),"")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6" s="148" t="s">
        <v>197</v>
      </c>
      <c r="BB96" s="166">
        <v>45154</v>
      </c>
      <c r="BC96" s="148" t="s">
        <v>201</v>
      </c>
      <c r="BD96" s="146" t="s">
        <v>706</v>
      </c>
      <c r="BE96" s="146" t="s">
        <v>707</v>
      </c>
      <c r="BF96" s="45"/>
      <c r="BG96" s="45"/>
      <c r="BH96" s="45"/>
      <c r="BI96" s="45"/>
      <c r="BJ96" s="45"/>
      <c r="BK96" s="45"/>
      <c r="BL96" s="45"/>
      <c r="BM96" s="45"/>
      <c r="BN96" s="45"/>
      <c r="BO96" s="45"/>
      <c r="BP96" s="45"/>
      <c r="BQ96" s="45"/>
      <c r="BR96" s="45"/>
      <c r="BS96" s="45"/>
      <c r="BT96" s="45"/>
      <c r="BU96" s="45"/>
      <c r="BV96" s="45"/>
      <c r="BW96" s="45"/>
      <c r="BX96" s="45"/>
    </row>
    <row r="97" spans="1:76" s="67" customFormat="1" ht="207.75" customHeight="1" x14ac:dyDescent="0.2">
      <c r="A97" s="76">
        <v>88</v>
      </c>
      <c r="B97" s="74" t="s">
        <v>59</v>
      </c>
      <c r="C97" s="74" t="s">
        <v>302</v>
      </c>
      <c r="D97" s="100" t="s">
        <v>283</v>
      </c>
      <c r="E97" s="100" t="s">
        <v>717</v>
      </c>
      <c r="F97" s="75" t="s">
        <v>718</v>
      </c>
      <c r="G97" s="74" t="s">
        <v>174</v>
      </c>
      <c r="H97" s="75" t="s">
        <v>703</v>
      </c>
      <c r="I97" s="75" t="s">
        <v>374</v>
      </c>
      <c r="J97" s="115" t="s">
        <v>336</v>
      </c>
      <c r="K97" s="100" t="s">
        <v>320</v>
      </c>
      <c r="L97" s="75" t="s">
        <v>321</v>
      </c>
      <c r="M97" s="116" t="s">
        <v>195</v>
      </c>
      <c r="N97" s="75" t="s">
        <v>704</v>
      </c>
      <c r="O97" s="116" t="s">
        <v>151</v>
      </c>
      <c r="P97" s="100" t="s">
        <v>719</v>
      </c>
      <c r="Q97" s="76" t="s">
        <v>195</v>
      </c>
      <c r="R97" s="76" t="s">
        <v>325</v>
      </c>
      <c r="S97" s="100" t="s">
        <v>195</v>
      </c>
      <c r="T97" s="100" t="s">
        <v>195</v>
      </c>
      <c r="U97" s="77" t="s">
        <v>328</v>
      </c>
      <c r="V97" s="77" t="s">
        <v>328</v>
      </c>
      <c r="W97" s="77" t="s">
        <v>328</v>
      </c>
      <c r="X97" s="77" t="s">
        <v>329</v>
      </c>
      <c r="Y97" s="77" t="s">
        <v>329</v>
      </c>
      <c r="Z97" s="77" t="s">
        <v>329</v>
      </c>
      <c r="AA97" s="77" t="s">
        <v>195</v>
      </c>
      <c r="AB97" s="77" t="s">
        <v>195</v>
      </c>
      <c r="AC97" s="138" t="s">
        <v>195</v>
      </c>
      <c r="AD97" s="142" t="s">
        <v>206</v>
      </c>
      <c r="AE97" s="142" t="s">
        <v>132</v>
      </c>
      <c r="AF97" s="136" t="str">
        <f t="shared" si="73"/>
        <v>ALTO</v>
      </c>
      <c r="AG97" s="77" t="s">
        <v>104</v>
      </c>
      <c r="AH97" s="136" t="str">
        <f t="shared" si="74"/>
        <v>ALTO</v>
      </c>
      <c r="AI97" s="78" t="s">
        <v>115</v>
      </c>
      <c r="AJ97" s="77" t="s">
        <v>121</v>
      </c>
      <c r="AK97" s="136" t="str">
        <f t="shared" si="75"/>
        <v>ALTO</v>
      </c>
      <c r="AL97" s="80" t="str">
        <f>VLOOKUP($AD97,[16]Tipologías!$B$3:$G$17,2,FALSE)</f>
        <v>ALTO</v>
      </c>
      <c r="AM97" s="80">
        <f t="shared" si="52"/>
        <v>3</v>
      </c>
      <c r="AN97" s="80" t="str">
        <f>VLOOKUP($AE97,[16]Tipologías!$A$21:$C$24,3,FALSE)</f>
        <v>MEDIO</v>
      </c>
      <c r="AO97" s="80">
        <f t="shared" si="53"/>
        <v>2</v>
      </c>
      <c r="AP97" s="80">
        <f>VLOOKUP($AI97,[16]Tipologías!$A$38:$B$42,2,FALSE)</f>
        <v>2</v>
      </c>
      <c r="AQ97" s="80">
        <f>VLOOKUP($AJ97,[16]Tipologías!$A$46:$B$53,2,FALSE)</f>
        <v>1.25</v>
      </c>
      <c r="AR97" s="80" t="str">
        <f t="shared" si="76"/>
        <v>ALTO</v>
      </c>
      <c r="AS97" s="80" t="str">
        <f>VLOOKUP($AG97,[16]Tipologías!$A$29:$C$33,3,FALSE)</f>
        <v>ALTO</v>
      </c>
      <c r="AT97" s="80" t="str">
        <f t="shared" si="77"/>
        <v>ALTO</v>
      </c>
      <c r="AU97" s="80" t="str">
        <f t="shared" si="78"/>
        <v>ALTO</v>
      </c>
      <c r="AV97" s="80" t="str">
        <f>_xlfn.IFNA(VLOOKUP(AD97,[16]Tipologías!$B$3:$G$17,4,0),"")</f>
        <v>INFORMACIÓN PÚBLICA CLASIFICADA</v>
      </c>
      <c r="AW97" s="80" t="str">
        <f t="shared" si="79"/>
        <v>IPC</v>
      </c>
      <c r="AX97" s="80" t="str">
        <f>_xlfn.IFNA(VLOOKUP(AD97,[16]Tipologías!$B$3:$G$17,3,0),"")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7" s="80" t="str">
        <f>_xlfn.IFNA(VLOOKUP(AD97,[16]Tipologías!$B$3:$G$17,5,0),"")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7" s="80" t="str">
        <f>_xlfn.IFNA(VLOOKUP(AD97,[16]Tipologías!$B$3:$G$17,6,0),"")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7" s="148" t="s">
        <v>197</v>
      </c>
      <c r="BB97" s="166">
        <v>45154</v>
      </c>
      <c r="BC97" s="148" t="s">
        <v>201</v>
      </c>
      <c r="BD97" s="146" t="s">
        <v>706</v>
      </c>
      <c r="BE97" s="146" t="s">
        <v>707</v>
      </c>
      <c r="BF97" s="45"/>
      <c r="BG97" s="45"/>
      <c r="BH97" s="45"/>
      <c r="BI97" s="45"/>
      <c r="BJ97" s="45"/>
      <c r="BK97" s="45"/>
      <c r="BL97" s="45"/>
      <c r="BM97" s="45"/>
      <c r="BN97" s="45"/>
      <c r="BO97" s="45"/>
      <c r="BP97" s="45"/>
      <c r="BQ97" s="45"/>
      <c r="BR97" s="45"/>
      <c r="BS97" s="45"/>
      <c r="BT97" s="45"/>
      <c r="BU97" s="45"/>
      <c r="BV97" s="45"/>
      <c r="BW97" s="45"/>
      <c r="BX97" s="45"/>
    </row>
    <row r="98" spans="1:76" s="67" customFormat="1" ht="206.45" customHeight="1" x14ac:dyDescent="0.2">
      <c r="A98" s="76">
        <v>89</v>
      </c>
      <c r="B98" s="74" t="s">
        <v>55</v>
      </c>
      <c r="C98" s="74" t="s">
        <v>296</v>
      </c>
      <c r="D98" s="100" t="s">
        <v>281</v>
      </c>
      <c r="E98" s="100" t="s">
        <v>720</v>
      </c>
      <c r="F98" s="75" t="s">
        <v>721</v>
      </c>
      <c r="G98" s="74" t="s">
        <v>205</v>
      </c>
      <c r="H98" s="75" t="s">
        <v>722</v>
      </c>
      <c r="I98" s="75" t="s">
        <v>722</v>
      </c>
      <c r="J98" s="107" t="s">
        <v>336</v>
      </c>
      <c r="K98" s="100" t="s">
        <v>320</v>
      </c>
      <c r="L98" s="75" t="s">
        <v>321</v>
      </c>
      <c r="M98" s="75" t="s">
        <v>195</v>
      </c>
      <c r="N98" s="75" t="s">
        <v>723</v>
      </c>
      <c r="O98" s="75" t="s">
        <v>151</v>
      </c>
      <c r="P98" s="100" t="s">
        <v>339</v>
      </c>
      <c r="Q98" s="76" t="s">
        <v>325</v>
      </c>
      <c r="R98" s="76" t="s">
        <v>325</v>
      </c>
      <c r="S98" s="100" t="s">
        <v>724</v>
      </c>
      <c r="T98" s="100" t="s">
        <v>725</v>
      </c>
      <c r="U98" s="77" t="s">
        <v>328</v>
      </c>
      <c r="V98" s="77" t="s">
        <v>328</v>
      </c>
      <c r="W98" s="77" t="s">
        <v>329</v>
      </c>
      <c r="X98" s="77" t="s">
        <v>329</v>
      </c>
      <c r="Y98" s="77" t="s">
        <v>329</v>
      </c>
      <c r="Z98" s="77" t="s">
        <v>329</v>
      </c>
      <c r="AA98" s="77" t="s">
        <v>329</v>
      </c>
      <c r="AB98" s="77" t="s">
        <v>329</v>
      </c>
      <c r="AC98" s="79" t="s">
        <v>195</v>
      </c>
      <c r="AD98" s="78" t="s">
        <v>211</v>
      </c>
      <c r="AE98" s="78" t="s">
        <v>132</v>
      </c>
      <c r="AF98" s="136" t="str">
        <f>AR98</f>
        <v>ALTO</v>
      </c>
      <c r="AG98" s="78" t="s">
        <v>102</v>
      </c>
      <c r="AH98" s="136" t="str">
        <f>_xlfn.IFNA((AS98),"")</f>
        <v>MEDIO</v>
      </c>
      <c r="AI98" s="78" t="s">
        <v>113</v>
      </c>
      <c r="AJ98" s="78" t="s">
        <v>121</v>
      </c>
      <c r="AK98" s="136" t="str">
        <f>_xlfn.IFNA((AT98),"")</f>
        <v>MEDIO</v>
      </c>
      <c r="AL98" s="80" t="str">
        <f>VLOOKUP($AD98,[17]Tipologías!$B$3:$G$17,2,FALSE)</f>
        <v>ALTO</v>
      </c>
      <c r="AM98" s="80">
        <f t="shared" si="52"/>
        <v>3</v>
      </c>
      <c r="AN98" s="80" t="str">
        <f>VLOOKUP($AE98,[17]Tipologías!$A$21:$C$24,3,FALSE)</f>
        <v>MEDIO</v>
      </c>
      <c r="AO98" s="80">
        <f t="shared" si="53"/>
        <v>2</v>
      </c>
      <c r="AP98" s="80">
        <f>VLOOKUP($AI98,[17]Tipologías!$A$38:$B$42,2,FALSE)</f>
        <v>1</v>
      </c>
      <c r="AQ98" s="80">
        <f>VLOOKUP($AJ98,[17]Tipologías!$A$46:$B$53,2,FALSE)</f>
        <v>1.25</v>
      </c>
      <c r="AR98" s="80" t="str">
        <f>IF(MAX(AM98,AO98)=3,"ALTO",IF(MAX(AM98,AO98)=2,"MEDIO",IF(MAX(AM98,AO98)=1,"BAJO","  ")))</f>
        <v>ALTO</v>
      </c>
      <c r="AS98" s="80" t="str">
        <f>VLOOKUP($AG98,[17]Tipologías!$A$29:$C$33,3,FALSE)</f>
        <v>MEDIO</v>
      </c>
      <c r="AT98" s="80" t="str">
        <f>IF(SUM($AP98,$AQ98)&gt;=3,"ALTO",IF(SUM($AP98,$AQ98)&lt;2,"BAJO","MEDIO"))</f>
        <v>MEDIO</v>
      </c>
      <c r="AU98" s="80" t="str">
        <f>_xlfn.IFNA(IF(AND(AR98="BAJO",AS98="BAJO",AT98="BAJO"),"BAJO",IF(AND(AR98="ALTO",AS98="ALTO",AT98="ALTO"),"ALTO",IF(COUNTIF(AR98:AT98,"ALTO")=2,"ALTO","MEDIO")))," ")</f>
        <v>MEDIO</v>
      </c>
      <c r="AV98" s="80" t="str">
        <f>_xlfn.IFNA(VLOOKUP(AD98,[17]Tipologías!$B$3:$G$17,4,0),"")</f>
        <v>INFORMACIÓN PÚBLICA RESERVADA</v>
      </c>
      <c r="AW98" s="80" t="str">
        <f>IF(AV98="INFORMACIÓN PÚBLICA","IPB",IF(AV98="INFORMACIÓN PÚBLICA CLASIFICADA","IPC",IF(AV98="INFORMACIÓN PÚBLICA RESERVADA","IPR",IF(AV98="",""))))</f>
        <v>IPR</v>
      </c>
      <c r="AX98" s="80" t="str">
        <f>_xlfn.IFNA(VLOOKUP(AD98,[17]Tipologías!$B$3:$G$17,3,0),"")</f>
        <v>LEY 1712   DE 2014 ARTÍCULO 19 LITERAL C "LAS RELACIONES INTERNACIONALES."</v>
      </c>
      <c r="AY98" s="80" t="str">
        <f>_xlfn.IFNA(VLOOKUP(AD98,[17]Tipologías!$B$3:$G$17,5,0),"")</f>
        <v xml:space="preserve">ARTÍCULO 24 LEY 1437 DE 2011 CPACA - SUSTITUIDO POR EL ARTÍCULO 1 DE LA LEY 1755 DE 2015 NUMERAL 2: TENDRÁN CARÁCTER RESERVADO LAS INFORMACIONES Y DOCUMENTOS EXPRESAMENTE SOMETIDOS A RESERVA POR LA CONSTITUCIÓN POLÍTICA Y EN ESPECIAL LAS INSTRUCCIONES EN MATERIA DIPLOMÁTICA
</v>
      </c>
      <c r="AZ98" s="80" t="str">
        <f>_xlfn.IFNA(VLOOKUP(AD98,[17]Tipologías!$B$3:$G$17,6,0),"")</f>
        <v xml:space="preserve">LEY 1712 DE 2014 ARTÍCULO 19  </v>
      </c>
      <c r="BA98" s="76" t="s">
        <v>197</v>
      </c>
      <c r="BB98" s="215">
        <v>45197</v>
      </c>
      <c r="BC98" s="76" t="s">
        <v>221</v>
      </c>
      <c r="BD98" s="78" t="s">
        <v>726</v>
      </c>
      <c r="BE98" s="78" t="s">
        <v>727</v>
      </c>
      <c r="BF98" s="45"/>
      <c r="BG98" s="45"/>
      <c r="BH98" s="45"/>
      <c r="BI98" s="45"/>
      <c r="BJ98" s="45"/>
      <c r="BK98" s="45"/>
      <c r="BL98" s="45"/>
      <c r="BM98" s="45"/>
      <c r="BN98" s="45"/>
      <c r="BO98" s="45"/>
      <c r="BP98" s="45"/>
      <c r="BQ98" s="45"/>
      <c r="BR98" s="45"/>
      <c r="BS98" s="45"/>
      <c r="BT98" s="45"/>
      <c r="BU98" s="45"/>
      <c r="BV98" s="45"/>
      <c r="BW98" s="45"/>
      <c r="BX98" s="45"/>
    </row>
    <row r="99" spans="1:76" s="67" customFormat="1" ht="206.45" customHeight="1" x14ac:dyDescent="0.2">
      <c r="A99" s="76">
        <v>90</v>
      </c>
      <c r="B99" s="74" t="s">
        <v>55</v>
      </c>
      <c r="C99" s="74" t="s">
        <v>296</v>
      </c>
      <c r="D99" s="100" t="s">
        <v>281</v>
      </c>
      <c r="E99" s="100" t="s">
        <v>728</v>
      </c>
      <c r="F99" s="75" t="s">
        <v>729</v>
      </c>
      <c r="G99" s="74" t="s">
        <v>205</v>
      </c>
      <c r="H99" s="75" t="s">
        <v>730</v>
      </c>
      <c r="I99" s="75" t="s">
        <v>730</v>
      </c>
      <c r="J99" s="107" t="s">
        <v>336</v>
      </c>
      <c r="K99" s="100" t="s">
        <v>320</v>
      </c>
      <c r="L99" s="75" t="s">
        <v>321</v>
      </c>
      <c r="M99" s="75" t="s">
        <v>195</v>
      </c>
      <c r="N99" s="75" t="s">
        <v>731</v>
      </c>
      <c r="O99" s="75" t="s">
        <v>151</v>
      </c>
      <c r="P99" s="100" t="s">
        <v>339</v>
      </c>
      <c r="Q99" s="76" t="s">
        <v>325</v>
      </c>
      <c r="R99" s="76" t="s">
        <v>325</v>
      </c>
      <c r="S99" s="100" t="s">
        <v>724</v>
      </c>
      <c r="T99" s="100" t="s">
        <v>732</v>
      </c>
      <c r="U99" s="77" t="s">
        <v>328</v>
      </c>
      <c r="V99" s="77" t="s">
        <v>328</v>
      </c>
      <c r="W99" s="77" t="s">
        <v>329</v>
      </c>
      <c r="X99" s="77" t="s">
        <v>329</v>
      </c>
      <c r="Y99" s="77" t="s">
        <v>329</v>
      </c>
      <c r="Z99" s="77" t="s">
        <v>329</v>
      </c>
      <c r="AA99" s="77" t="s">
        <v>195</v>
      </c>
      <c r="AB99" s="77" t="s">
        <v>329</v>
      </c>
      <c r="AC99" s="79" t="s">
        <v>195</v>
      </c>
      <c r="AD99" s="78" t="s">
        <v>89</v>
      </c>
      <c r="AE99" s="78" t="s">
        <v>132</v>
      </c>
      <c r="AF99" s="136" t="str">
        <f t="shared" ref="AF99:AF100" si="80">AR99</f>
        <v>MEDIO</v>
      </c>
      <c r="AG99" s="78" t="s">
        <v>104</v>
      </c>
      <c r="AH99" s="136" t="str">
        <f t="shared" ref="AH99:AH100" si="81">_xlfn.IFNA((AS99),"")</f>
        <v>ALTO</v>
      </c>
      <c r="AI99" s="78" t="s">
        <v>111</v>
      </c>
      <c r="AJ99" s="78" t="s">
        <v>121</v>
      </c>
      <c r="AK99" s="136" t="str">
        <f t="shared" ref="AK99:AK100" si="82">_xlfn.IFNA((AT99),"")</f>
        <v>BAJO</v>
      </c>
      <c r="AL99" s="80" t="str">
        <f>VLOOKUP($AD99,[17]Tipologías!$B$3:$G$17,2,FALSE)</f>
        <v>BAJO</v>
      </c>
      <c r="AM99" s="80">
        <f t="shared" si="52"/>
        <v>1</v>
      </c>
      <c r="AN99" s="80" t="str">
        <f>VLOOKUP($AE99,[17]Tipologías!$A$21:$C$24,3,FALSE)</f>
        <v>MEDIO</v>
      </c>
      <c r="AO99" s="80">
        <f t="shared" si="53"/>
        <v>2</v>
      </c>
      <c r="AP99" s="80">
        <f>VLOOKUP($AI99,[17]Tipologías!$A$38:$B$42,2,FALSE)</f>
        <v>0.5</v>
      </c>
      <c r="AQ99" s="80">
        <f>VLOOKUP($AJ99,[17]Tipologías!$A$46:$B$53,2,FALSE)</f>
        <v>1.25</v>
      </c>
      <c r="AR99" s="80" t="str">
        <f>IF(MAX(AM99,AO99)=3,"ALTO",IF(MAX(AM99,AO99)=2,"MEDIO",IF(MAX(AM99,AO99)=1,"BAJO","  ")))</f>
        <v>MEDIO</v>
      </c>
      <c r="AS99" s="80" t="str">
        <f>VLOOKUP($AG99,[17]Tipologías!$A$29:$C$33,3,FALSE)</f>
        <v>ALTO</v>
      </c>
      <c r="AT99" s="80" t="str">
        <f>IF(SUM($AP99,$AQ99)&gt;=3,"ALTO",IF(SUM($AP99,$AQ99)&lt;2,"BAJO","MEDIO"))</f>
        <v>BAJO</v>
      </c>
      <c r="AU99" s="80" t="str">
        <f>_xlfn.IFNA(IF(AND(AR99="BAJO",AS99="BAJO",AT99="BAJO"),"BAJO",IF(AND(AR99="ALTO",AS99="ALTO",AT99="ALTO"),"ALTO",IF(COUNTIF(AR99:AT99,"ALTO")=2,"ALTO","MEDIO")))," ")</f>
        <v>MEDIO</v>
      </c>
      <c r="AV99" s="80" t="str">
        <f>_xlfn.IFNA(VLOOKUP(AD99,[17]Tipologías!$B$3:$G$17,4,0),"")</f>
        <v>INFORMACIÓN PÚBLICA</v>
      </c>
      <c r="AW99" s="80" t="str">
        <f>IF(AV99="INFORMACIÓN PÚBLICA","IPB",IF(AV99="INFORMACIÓN PÚBLICA CLASIFICADA","IPC",IF(AV99="INFORMACIÓN PÚBLICA RESERVADA","IPR",IF(AV99="",""))))</f>
        <v>IPB</v>
      </c>
      <c r="AX99" s="80" t="str">
        <f>_xlfn.IFNA(VLOOKUP(AD99,[17]Tipologías!$B$3:$G$17,3,0),"")</f>
        <v>LEY 1712 DE 2014 LEY DE TRANSPARENCIA Y DERECHO DE ACCESO A LA INFORMACIÓN. ARTÍCULO 6 DEFINICIONES LITERAL B.</v>
      </c>
      <c r="AY99" s="80" t="str">
        <f>_xlfn.IFNA(VLOOKUP(AD99,[17]Tipologías!$B$3:$G$17,5,0),"")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99" s="80" t="str">
        <f>_xlfn.IFNA(VLOOKUP(AD99,[17]Tipologías!$B$3:$G$17,6,0),"")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99" s="76" t="s">
        <v>198</v>
      </c>
      <c r="BB99" s="215">
        <v>45197</v>
      </c>
      <c r="BC99" s="76" t="s">
        <v>195</v>
      </c>
      <c r="BD99" s="78" t="s">
        <v>733</v>
      </c>
      <c r="BE99" s="78" t="s">
        <v>734</v>
      </c>
      <c r="BF99" s="45"/>
      <c r="BG99" s="45"/>
      <c r="BH99" s="45"/>
      <c r="BI99" s="45"/>
      <c r="BJ99" s="45"/>
      <c r="BK99" s="45"/>
      <c r="BL99" s="45"/>
      <c r="BM99" s="45"/>
      <c r="BN99" s="45"/>
      <c r="BO99" s="45"/>
      <c r="BP99" s="45"/>
      <c r="BQ99" s="45"/>
      <c r="BR99" s="45"/>
      <c r="BS99" s="45"/>
      <c r="BT99" s="45"/>
      <c r="BU99" s="45"/>
      <c r="BV99" s="45"/>
      <c r="BW99" s="45"/>
      <c r="BX99" s="45"/>
    </row>
    <row r="100" spans="1:76" s="67" customFormat="1" ht="206.45" customHeight="1" x14ac:dyDescent="0.2">
      <c r="A100" s="76">
        <v>91</v>
      </c>
      <c r="B100" s="74" t="s">
        <v>55</v>
      </c>
      <c r="C100" s="74" t="s">
        <v>296</v>
      </c>
      <c r="D100" s="100" t="s">
        <v>281</v>
      </c>
      <c r="E100" s="100" t="s">
        <v>735</v>
      </c>
      <c r="F100" s="75" t="s">
        <v>736</v>
      </c>
      <c r="G100" s="74" t="s">
        <v>205</v>
      </c>
      <c r="H100" s="75" t="s">
        <v>730</v>
      </c>
      <c r="I100" s="75" t="s">
        <v>730</v>
      </c>
      <c r="J100" s="107" t="s">
        <v>336</v>
      </c>
      <c r="K100" s="100" t="s">
        <v>320</v>
      </c>
      <c r="L100" s="75" t="s">
        <v>321</v>
      </c>
      <c r="M100" s="75" t="s">
        <v>195</v>
      </c>
      <c r="N100" s="75" t="s">
        <v>731</v>
      </c>
      <c r="O100" s="75" t="s">
        <v>151</v>
      </c>
      <c r="P100" s="100" t="s">
        <v>339</v>
      </c>
      <c r="Q100" s="76" t="s">
        <v>325</v>
      </c>
      <c r="R100" s="76" t="s">
        <v>325</v>
      </c>
      <c r="S100" s="100" t="s">
        <v>724</v>
      </c>
      <c r="T100" s="100" t="s">
        <v>737</v>
      </c>
      <c r="U100" s="77" t="s">
        <v>328</v>
      </c>
      <c r="V100" s="77" t="s">
        <v>328</v>
      </c>
      <c r="W100" s="77" t="s">
        <v>329</v>
      </c>
      <c r="X100" s="77" t="s">
        <v>329</v>
      </c>
      <c r="Y100" s="77" t="s">
        <v>329</v>
      </c>
      <c r="Z100" s="77" t="s">
        <v>329</v>
      </c>
      <c r="AA100" s="77" t="s">
        <v>195</v>
      </c>
      <c r="AB100" s="77" t="s">
        <v>329</v>
      </c>
      <c r="AC100" s="79" t="s">
        <v>195</v>
      </c>
      <c r="AD100" s="78" t="s">
        <v>89</v>
      </c>
      <c r="AE100" s="78" t="s">
        <v>132</v>
      </c>
      <c r="AF100" s="136" t="str">
        <f t="shared" si="80"/>
        <v>MEDIO</v>
      </c>
      <c r="AG100" s="78" t="s">
        <v>104</v>
      </c>
      <c r="AH100" s="136" t="str">
        <f t="shared" si="81"/>
        <v>ALTO</v>
      </c>
      <c r="AI100" s="78" t="s">
        <v>111</v>
      </c>
      <c r="AJ100" s="78" t="s">
        <v>121</v>
      </c>
      <c r="AK100" s="136" t="str">
        <f t="shared" si="82"/>
        <v>BAJO</v>
      </c>
      <c r="AL100" s="80" t="str">
        <f>VLOOKUP($AD100,[17]Tipologías!$B$3:$G$17,2,FALSE)</f>
        <v>BAJO</v>
      </c>
      <c r="AM100" s="80">
        <f t="shared" si="52"/>
        <v>1</v>
      </c>
      <c r="AN100" s="80" t="str">
        <f>VLOOKUP($AE100,[17]Tipologías!$A$21:$C$24,3,FALSE)</f>
        <v>MEDIO</v>
      </c>
      <c r="AO100" s="80">
        <f t="shared" si="53"/>
        <v>2</v>
      </c>
      <c r="AP100" s="80">
        <f>VLOOKUP($AI100,[17]Tipologías!$A$38:$B$42,2,FALSE)</f>
        <v>0.5</v>
      </c>
      <c r="AQ100" s="80">
        <f>VLOOKUP($AJ100,[17]Tipologías!$A$46:$B$53,2,FALSE)</f>
        <v>1.25</v>
      </c>
      <c r="AR100" s="80" t="str">
        <f t="shared" ref="AR100" si="83">IF(MAX(AM100,AO100)=3,"ALTO",IF(MAX(AM100,AO100)=2,"MEDIO",IF(MAX(AM100,AO100)=1,"BAJO","  ")))</f>
        <v>MEDIO</v>
      </c>
      <c r="AS100" s="80" t="str">
        <f>VLOOKUP($AG100,[17]Tipologías!$A$29:$C$33,3,FALSE)</f>
        <v>ALTO</v>
      </c>
      <c r="AT100" s="80" t="str">
        <f t="shared" ref="AT100" si="84">IF(SUM($AP100,$AQ100)&gt;=3,"ALTO",IF(SUM($AP100,$AQ100)&lt;2,"BAJO","MEDIO"))</f>
        <v>BAJO</v>
      </c>
      <c r="AU100" s="80" t="str">
        <f t="shared" ref="AU100" si="85">_xlfn.IFNA(IF(AND(AR100="BAJO",AS100="BAJO",AT100="BAJO"),"BAJO",IF(AND(AR100="ALTO",AS100="ALTO",AT100="ALTO"),"ALTO",IF(COUNTIF(AR100:AT100,"ALTO")=2,"ALTO","MEDIO")))," ")</f>
        <v>MEDIO</v>
      </c>
      <c r="AV100" s="80" t="str">
        <f>_xlfn.IFNA(VLOOKUP(AD100,[17]Tipologías!$B$3:$G$17,4,0),"")</f>
        <v>INFORMACIÓN PÚBLICA</v>
      </c>
      <c r="AW100" s="80" t="str">
        <f t="shared" ref="AW100" si="86">IF(AV100="INFORMACIÓN PÚBLICA","IPB",IF(AV100="INFORMACIÓN PÚBLICA CLASIFICADA","IPC",IF(AV100="INFORMACIÓN PÚBLICA RESERVADA","IPR",IF(AV100="",""))))</f>
        <v>IPB</v>
      </c>
      <c r="AX100" s="80" t="str">
        <f>_xlfn.IFNA(VLOOKUP(AD100,[17]Tipologías!$B$3:$G$17,3,0),"")</f>
        <v>LEY 1712 DE 2014 LEY DE TRANSPARENCIA Y DERECHO DE ACCESO A LA INFORMACIÓN. ARTÍCULO 6 DEFINICIONES LITERAL B.</v>
      </c>
      <c r="AY100" s="80" t="str">
        <f>_xlfn.IFNA(VLOOKUP(AD100,[17]Tipologías!$B$3:$G$17,5,0),"")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0" s="80" t="str">
        <f>_xlfn.IFNA(VLOOKUP(AD100,[17]Tipologías!$B$3:$G$17,6,0),"")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0" s="76" t="s">
        <v>198</v>
      </c>
      <c r="BB100" s="215">
        <v>45197</v>
      </c>
      <c r="BC100" s="76" t="s">
        <v>195</v>
      </c>
      <c r="BD100" s="78" t="s">
        <v>733</v>
      </c>
      <c r="BE100" s="78" t="s">
        <v>734</v>
      </c>
      <c r="BF100" s="45"/>
      <c r="BG100" s="45"/>
      <c r="BH100" s="45"/>
      <c r="BI100" s="45"/>
      <c r="BJ100" s="45"/>
      <c r="BK100" s="45"/>
      <c r="BL100" s="45"/>
      <c r="BM100" s="45"/>
      <c r="BN100" s="45"/>
      <c r="BO100" s="45"/>
      <c r="BP100" s="45"/>
      <c r="BQ100" s="45"/>
      <c r="BR100" s="45"/>
      <c r="BS100" s="45"/>
      <c r="BT100" s="45"/>
      <c r="BU100" s="45"/>
      <c r="BV100" s="45"/>
      <c r="BW100" s="45"/>
      <c r="BX100" s="45"/>
    </row>
    <row r="101" spans="1:76" s="67" customFormat="1" ht="207.2" customHeight="1" x14ac:dyDescent="0.2">
      <c r="A101" s="76">
        <v>92</v>
      </c>
      <c r="B101" s="183" t="s">
        <v>59</v>
      </c>
      <c r="C101" s="183" t="s">
        <v>304</v>
      </c>
      <c r="D101" s="209" t="s">
        <v>273</v>
      </c>
      <c r="E101" s="209" t="s">
        <v>738</v>
      </c>
      <c r="F101" s="184" t="s">
        <v>739</v>
      </c>
      <c r="G101" s="185" t="s">
        <v>205</v>
      </c>
      <c r="H101" s="184" t="s">
        <v>740</v>
      </c>
      <c r="I101" s="184" t="s">
        <v>741</v>
      </c>
      <c r="J101" s="192" t="s">
        <v>336</v>
      </c>
      <c r="K101" s="209" t="s">
        <v>320</v>
      </c>
      <c r="L101" s="184" t="s">
        <v>362</v>
      </c>
      <c r="M101" s="184" t="s">
        <v>195</v>
      </c>
      <c r="N101" s="184" t="s">
        <v>742</v>
      </c>
      <c r="O101" s="184" t="s">
        <v>146</v>
      </c>
      <c r="P101" s="209" t="s">
        <v>743</v>
      </c>
      <c r="Q101" s="186"/>
      <c r="R101" s="187" t="s">
        <v>325</v>
      </c>
      <c r="S101" s="188" t="s">
        <v>195</v>
      </c>
      <c r="T101" s="188" t="s">
        <v>195</v>
      </c>
      <c r="U101" s="189" t="s">
        <v>328</v>
      </c>
      <c r="V101" s="189" t="s">
        <v>328</v>
      </c>
      <c r="W101" s="189" t="s">
        <v>328</v>
      </c>
      <c r="X101" s="189" t="s">
        <v>329</v>
      </c>
      <c r="Y101" s="189" t="s">
        <v>328</v>
      </c>
      <c r="Z101" s="189" t="s">
        <v>329</v>
      </c>
      <c r="AA101" s="189" t="s">
        <v>328</v>
      </c>
      <c r="AB101" s="189" t="s">
        <v>328</v>
      </c>
      <c r="AC101" s="190" t="s">
        <v>195</v>
      </c>
      <c r="AD101" s="191" t="s">
        <v>217</v>
      </c>
      <c r="AE101" s="191" t="s">
        <v>136</v>
      </c>
      <c r="AF101" s="189" t="s">
        <v>92</v>
      </c>
      <c r="AG101" s="191" t="s">
        <v>104</v>
      </c>
      <c r="AH101" s="189" t="str">
        <f t="shared" ref="AH101:AH106" si="87">_xlfn.IFNA((AS101),"")</f>
        <v>ALTO</v>
      </c>
      <c r="AI101" s="191" t="s">
        <v>111</v>
      </c>
      <c r="AJ101" s="191" t="s">
        <v>121</v>
      </c>
      <c r="AK101" s="189" t="str">
        <f t="shared" ref="AK101:AK106" si="88">_xlfn.IFNA((AT101),"")</f>
        <v>BAJO</v>
      </c>
      <c r="AL101" s="192" t="str">
        <f>VLOOKUP($AD101,[18]Tipologías!$B$3:$G$17,2,FALSE)</f>
        <v>ALTO</v>
      </c>
      <c r="AM101" s="192">
        <f t="shared" si="52"/>
        <v>3</v>
      </c>
      <c r="AN101" s="192" t="str">
        <f>VLOOKUP($AE101,[18]Tipologías!$A$21:$C$24,3,FALSE)</f>
        <v>ALTO</v>
      </c>
      <c r="AO101" s="192">
        <f t="shared" si="53"/>
        <v>3</v>
      </c>
      <c r="AP101" s="192">
        <f>VLOOKUP($AI101,[18]Tipologías!$A$38:$B$42,2,FALSE)</f>
        <v>0.5</v>
      </c>
      <c r="AQ101" s="192">
        <f>VLOOKUP($AJ101,[18]Tipologías!$A$46:$B$53,2,FALSE)</f>
        <v>1.25</v>
      </c>
      <c r="AR101" s="192" t="str">
        <f t="shared" ref="AR101:AR110" si="89">IF(MAX(AM101,AO101)=3,"ALTO",IF(MAX(AM101,AO101)=2,"MEDIO",IF(MAX(AM101,AO101)=1,"BAJO","  ")))</f>
        <v>ALTO</v>
      </c>
      <c r="AS101" s="192" t="str">
        <f>VLOOKUP($AG101,[18]Tipologías!$A$29:$C$33,3,FALSE)</f>
        <v>ALTO</v>
      </c>
      <c r="AT101" s="192" t="str">
        <f t="shared" ref="AT101:AT110" si="90">IF(SUM($AP101,$AQ101)&gt;=3,"ALTO",IF(SUM($AP101,$AQ101)&lt;2,"BAJO","MEDIO"))</f>
        <v>BAJO</v>
      </c>
      <c r="AU101" s="192" t="str">
        <f t="shared" ref="AU101:AU108" si="91">_xlfn.IFNA(IF(AND(AR101="BAJO",AS101="BAJO",AT101="BAJO"),"BAJO",IF(AND(AR101="ALTO",AS101="ALTO",AT101="ALTO"),"ALTO",IF(COUNTIF(AR101:AT101,"ALTO")=2,"ALTO","MEDIO")))," ")</f>
        <v>ALTO</v>
      </c>
      <c r="AV101" s="192" t="str">
        <f>_xlfn.IFNA(VLOOKUP(AD101,[18]Tipologías!$B$3:$G$17,4,0),"")</f>
        <v>INFORMACIÓN PÚBLICA RESERVADA</v>
      </c>
      <c r="AW101" s="192" t="str">
        <f t="shared" ref="AW101:AW110" si="92">IF(AV101="INFORMACIÓN PÚBLICA","IPB",IF(AV101="INFORMACIÓN PÚBLICA CLASIFICADA","IPC",IF(AV101="INFORMACIÓN PÚBLICA RESERVADA","IPR",IF(AV101="",""))))</f>
        <v>IPR</v>
      </c>
      <c r="AX101" s="192" t="str">
        <f>_xlfn.IFNA(VLOOKUP(AD101,[18]Tipologías!$B$3:$G$17,3,0),"")</f>
        <v>LEY 1712   DE 2014  ARTÍCULO 19 LITERAL I "LA SALUD PÚBLICA."</v>
      </c>
      <c r="AY101" s="192" t="str">
        <f>_xlfn.IFNA(VLOOKUP(AD101,[18]Tipologías!$B$3:$G$17,5,0),"")</f>
        <v>LEY 1712   DE 2014  ARTÍCULO 19 LITERAL I "LA SALUD PÚBLICA."</v>
      </c>
      <c r="AZ101" s="192" t="str">
        <f>_xlfn.IFNA(VLOOKUP(AD101,[18]Tipologías!$B$3:$G$17,6,0),"")</f>
        <v xml:space="preserve">LEY 1712 DE 2014 ARTÍCULO 19  </v>
      </c>
      <c r="BA101" s="187" t="s">
        <v>197</v>
      </c>
      <c r="BB101" s="216" t="s">
        <v>744</v>
      </c>
      <c r="BC101" s="187" t="s">
        <v>201</v>
      </c>
      <c r="BD101" s="191" t="s">
        <v>745</v>
      </c>
      <c r="BE101" s="191" t="s">
        <v>746</v>
      </c>
      <c r="BF101" s="45"/>
      <c r="BG101" s="45"/>
      <c r="BH101" s="45"/>
      <c r="BI101" s="45"/>
      <c r="BJ101" s="45"/>
      <c r="BK101" s="45"/>
      <c r="BL101" s="45"/>
      <c r="BM101" s="45"/>
      <c r="BN101" s="45"/>
      <c r="BO101" s="45"/>
      <c r="BP101" s="45"/>
      <c r="BQ101" s="45"/>
      <c r="BR101" s="45"/>
      <c r="BS101" s="45"/>
      <c r="BT101" s="45"/>
      <c r="BU101" s="45"/>
      <c r="BV101" s="45"/>
      <c r="BW101" s="45"/>
      <c r="BX101" s="45"/>
    </row>
    <row r="102" spans="1:76" s="67" customFormat="1" ht="207.2" customHeight="1" x14ac:dyDescent="0.2">
      <c r="A102" s="76">
        <v>93</v>
      </c>
      <c r="B102" s="183" t="s">
        <v>59</v>
      </c>
      <c r="C102" s="183" t="s">
        <v>304</v>
      </c>
      <c r="D102" s="209" t="s">
        <v>273</v>
      </c>
      <c r="E102" s="209" t="s">
        <v>747</v>
      </c>
      <c r="F102" s="193" t="s">
        <v>748</v>
      </c>
      <c r="G102" s="183" t="s">
        <v>174</v>
      </c>
      <c r="H102" s="184" t="s">
        <v>740</v>
      </c>
      <c r="I102" s="184" t="s">
        <v>749</v>
      </c>
      <c r="J102" s="207" t="s">
        <v>319</v>
      </c>
      <c r="K102" s="209" t="s">
        <v>320</v>
      </c>
      <c r="L102" s="184" t="s">
        <v>321</v>
      </c>
      <c r="M102" s="184" t="s">
        <v>750</v>
      </c>
      <c r="N102" s="194" t="s">
        <v>751</v>
      </c>
      <c r="O102" s="184" t="s">
        <v>151</v>
      </c>
      <c r="P102" s="209" t="s">
        <v>752</v>
      </c>
      <c r="Q102" s="187" t="s">
        <v>325</v>
      </c>
      <c r="R102" s="187" t="s">
        <v>325</v>
      </c>
      <c r="S102" s="188" t="s">
        <v>195</v>
      </c>
      <c r="T102" s="188" t="s">
        <v>195</v>
      </c>
      <c r="U102" s="189" t="s">
        <v>328</v>
      </c>
      <c r="V102" s="189" t="s">
        <v>328</v>
      </c>
      <c r="W102" s="189" t="s">
        <v>328</v>
      </c>
      <c r="X102" s="189" t="s">
        <v>329</v>
      </c>
      <c r="Y102" s="189" t="s">
        <v>328</v>
      </c>
      <c r="Z102" s="189" t="s">
        <v>329</v>
      </c>
      <c r="AA102" s="192" t="s">
        <v>328</v>
      </c>
      <c r="AB102" s="192" t="s">
        <v>328</v>
      </c>
      <c r="AC102" s="190" t="s">
        <v>195</v>
      </c>
      <c r="AD102" s="191" t="s">
        <v>208</v>
      </c>
      <c r="AE102" s="191" t="s">
        <v>132</v>
      </c>
      <c r="AF102" s="189" t="s">
        <v>92</v>
      </c>
      <c r="AG102" s="191" t="s">
        <v>104</v>
      </c>
      <c r="AH102" s="189" t="str">
        <f t="shared" si="87"/>
        <v>ALTO</v>
      </c>
      <c r="AI102" s="191" t="s">
        <v>113</v>
      </c>
      <c r="AJ102" s="191" t="s">
        <v>122</v>
      </c>
      <c r="AK102" s="189" t="str">
        <f t="shared" si="88"/>
        <v>MEDIO</v>
      </c>
      <c r="AL102" s="192" t="str">
        <f>VLOOKUP($AD102,[18]Tipologías!$B$3:$G$17,2,FALSE)</f>
        <v>ALTO</v>
      </c>
      <c r="AM102" s="192">
        <f t="shared" si="52"/>
        <v>3</v>
      </c>
      <c r="AN102" s="192" t="str">
        <f>VLOOKUP($AE102,[18]Tipologías!$A$21:$C$24,3,FALSE)</f>
        <v>MEDIO</v>
      </c>
      <c r="AO102" s="192">
        <f t="shared" si="53"/>
        <v>2</v>
      </c>
      <c r="AP102" s="192">
        <f>VLOOKUP($AI102,[18]Tipologías!$A$38:$B$42,2,FALSE)</f>
        <v>1</v>
      </c>
      <c r="AQ102" s="192">
        <f>VLOOKUP($AJ102,[18]Tipologías!$A$46:$B$53,2,FALSE)</f>
        <v>1</v>
      </c>
      <c r="AR102" s="192" t="str">
        <f t="shared" si="89"/>
        <v>ALTO</v>
      </c>
      <c r="AS102" s="192" t="str">
        <f>VLOOKUP($AG102,[18]Tipologías!$A$29:$C$33,3,FALSE)</f>
        <v>ALTO</v>
      </c>
      <c r="AT102" s="192" t="str">
        <f t="shared" si="90"/>
        <v>MEDIO</v>
      </c>
      <c r="AU102" s="192" t="str">
        <f t="shared" si="91"/>
        <v>ALTO</v>
      </c>
      <c r="AV102" s="192" t="str">
        <f>_xlfn.IFNA(VLOOKUP(AD102,[18]Tipologías!$B$3:$G$17,4,0),"")</f>
        <v>INFORMACIÓN PÚBLICA CLASIFICADA</v>
      </c>
      <c r="AW102" s="192" t="str">
        <f t="shared" si="92"/>
        <v>IPC</v>
      </c>
      <c r="AX102" s="192" t="str">
        <f>_xlfn.IFNA(VLOOKUP(AD102,[18]Tipologías!$B$3:$G$17,3,0),"")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02" s="192" t="str">
        <f>_xlfn.IFNA(VLOOKUP(AD102,[18]Tipologías!$B$3:$G$17,5,0),"")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02" s="192" t="str">
        <f>_xlfn.IFNA(VLOOKUP(AD102,[18]Tipologías!$B$3:$G$17,6,0),"")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02" s="187" t="s">
        <v>197</v>
      </c>
      <c r="BB102" s="216">
        <v>45119</v>
      </c>
      <c r="BC102" s="187" t="s">
        <v>201</v>
      </c>
      <c r="BD102" s="191" t="s">
        <v>745</v>
      </c>
      <c r="BE102" s="191" t="s">
        <v>746</v>
      </c>
      <c r="BF102" s="45"/>
      <c r="BG102" s="45"/>
      <c r="BH102" s="45"/>
      <c r="BI102" s="45"/>
      <c r="BJ102" s="45"/>
      <c r="BK102" s="45"/>
      <c r="BL102" s="45"/>
      <c r="BM102" s="45"/>
      <c r="BN102" s="45"/>
      <c r="BO102" s="45"/>
      <c r="BP102" s="45"/>
      <c r="BQ102" s="45"/>
      <c r="BR102" s="45"/>
      <c r="BS102" s="45"/>
      <c r="BT102" s="45"/>
      <c r="BU102" s="45"/>
      <c r="BV102" s="45"/>
      <c r="BW102" s="45"/>
      <c r="BX102" s="45"/>
    </row>
    <row r="103" spans="1:76" s="67" customFormat="1" ht="207.2" customHeight="1" x14ac:dyDescent="0.2">
      <c r="A103" s="76">
        <v>94</v>
      </c>
      <c r="B103" s="183" t="s">
        <v>59</v>
      </c>
      <c r="C103" s="183" t="s">
        <v>304</v>
      </c>
      <c r="D103" s="209" t="s">
        <v>273</v>
      </c>
      <c r="E103" s="209" t="s">
        <v>753</v>
      </c>
      <c r="F103" s="184" t="s">
        <v>754</v>
      </c>
      <c r="G103" s="183" t="s">
        <v>140</v>
      </c>
      <c r="H103" s="184" t="s">
        <v>740</v>
      </c>
      <c r="I103" s="184" t="s">
        <v>740</v>
      </c>
      <c r="J103" s="207" t="s">
        <v>336</v>
      </c>
      <c r="K103" s="209" t="s">
        <v>320</v>
      </c>
      <c r="L103" s="184" t="s">
        <v>321</v>
      </c>
      <c r="M103" s="184" t="s">
        <v>755</v>
      </c>
      <c r="N103" s="184" t="s">
        <v>756</v>
      </c>
      <c r="O103" s="184" t="s">
        <v>151</v>
      </c>
      <c r="P103" s="209" t="s">
        <v>757</v>
      </c>
      <c r="Q103" s="187" t="s">
        <v>325</v>
      </c>
      <c r="R103" s="187"/>
      <c r="S103" s="209" t="s">
        <v>195</v>
      </c>
      <c r="T103" s="209" t="s">
        <v>195</v>
      </c>
      <c r="U103" s="189" t="s">
        <v>328</v>
      </c>
      <c r="V103" s="189" t="s">
        <v>328</v>
      </c>
      <c r="W103" s="189" t="s">
        <v>328</v>
      </c>
      <c r="X103" s="189" t="s">
        <v>329</v>
      </c>
      <c r="Y103" s="189" t="s">
        <v>328</v>
      </c>
      <c r="Z103" s="189" t="s">
        <v>329</v>
      </c>
      <c r="AA103" s="189" t="s">
        <v>195</v>
      </c>
      <c r="AB103" s="189" t="s">
        <v>195</v>
      </c>
      <c r="AC103" s="190" t="s">
        <v>195</v>
      </c>
      <c r="AD103" s="191" t="s">
        <v>208</v>
      </c>
      <c r="AE103" s="191" t="s">
        <v>132</v>
      </c>
      <c r="AF103" s="189" t="s">
        <v>92</v>
      </c>
      <c r="AG103" s="191" t="s">
        <v>104</v>
      </c>
      <c r="AH103" s="189" t="str">
        <f t="shared" si="87"/>
        <v>ALTO</v>
      </c>
      <c r="AI103" s="191" t="s">
        <v>111</v>
      </c>
      <c r="AJ103" s="191" t="s">
        <v>119</v>
      </c>
      <c r="AK103" s="189" t="str">
        <f t="shared" si="88"/>
        <v>MEDIO</v>
      </c>
      <c r="AL103" s="192" t="str">
        <f>VLOOKUP($AD103,[18]Tipologías!$B$3:$G$17,2,FALSE)</f>
        <v>ALTO</v>
      </c>
      <c r="AM103" s="192">
        <f t="shared" si="52"/>
        <v>3</v>
      </c>
      <c r="AN103" s="192" t="str">
        <f>VLOOKUP($AE103,[18]Tipologías!$A$21:$C$24,3,FALSE)</f>
        <v>MEDIO</v>
      </c>
      <c r="AO103" s="192">
        <f t="shared" si="53"/>
        <v>2</v>
      </c>
      <c r="AP103" s="192">
        <f>VLOOKUP($AI103,[18]Tipologías!$A$38:$B$42,2,FALSE)</f>
        <v>0.5</v>
      </c>
      <c r="AQ103" s="192">
        <f>VLOOKUP($AJ103,[18]Tipologías!$A$46:$B$53,2,FALSE)</f>
        <v>2</v>
      </c>
      <c r="AR103" s="192" t="str">
        <f t="shared" si="89"/>
        <v>ALTO</v>
      </c>
      <c r="AS103" s="192" t="str">
        <f>VLOOKUP($AG103,[18]Tipologías!$A$29:$C$33,3,FALSE)</f>
        <v>ALTO</v>
      </c>
      <c r="AT103" s="192" t="str">
        <f t="shared" si="90"/>
        <v>MEDIO</v>
      </c>
      <c r="AU103" s="192" t="str">
        <f t="shared" si="91"/>
        <v>ALTO</v>
      </c>
      <c r="AV103" s="192" t="str">
        <f>_xlfn.IFNA(VLOOKUP(AD103,[18]Tipologías!$B$3:$G$17,4,0),"")</f>
        <v>INFORMACIÓN PÚBLICA CLASIFICADA</v>
      </c>
      <c r="AW103" s="192" t="str">
        <f t="shared" si="92"/>
        <v>IPC</v>
      </c>
      <c r="AX103" s="192" t="str">
        <f>_xlfn.IFNA(VLOOKUP(AD103,[18]Tipologías!$B$3:$G$17,3,0),"")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03" s="192" t="str">
        <f>_xlfn.IFNA(VLOOKUP(AD103,[18]Tipologías!$B$3:$G$17,5,0),"")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03" s="192" t="str">
        <f>_xlfn.IFNA(VLOOKUP(AD103,[18]Tipologías!$B$3:$G$17,6,0),"")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03" s="187" t="s">
        <v>196</v>
      </c>
      <c r="BB103" s="216">
        <v>45119</v>
      </c>
      <c r="BC103" s="187" t="s">
        <v>201</v>
      </c>
      <c r="BD103" s="191" t="s">
        <v>745</v>
      </c>
      <c r="BE103" s="191" t="s">
        <v>746</v>
      </c>
      <c r="BF103" s="45"/>
      <c r="BG103" s="45"/>
      <c r="BH103" s="45"/>
      <c r="BI103" s="45"/>
      <c r="BJ103" s="45"/>
      <c r="BK103" s="45"/>
      <c r="BL103" s="45"/>
      <c r="BM103" s="45"/>
      <c r="BN103" s="45"/>
      <c r="BO103" s="45"/>
      <c r="BP103" s="45"/>
      <c r="BQ103" s="45"/>
      <c r="BR103" s="45"/>
      <c r="BS103" s="45"/>
      <c r="BT103" s="45"/>
      <c r="BU103" s="45"/>
      <c r="BV103" s="45"/>
      <c r="BW103" s="45"/>
      <c r="BX103" s="45"/>
    </row>
    <row r="104" spans="1:76" s="67" customFormat="1" ht="207.2" customHeight="1" x14ac:dyDescent="0.2">
      <c r="A104" s="76">
        <v>95</v>
      </c>
      <c r="B104" s="183" t="s">
        <v>59</v>
      </c>
      <c r="C104" s="183" t="s">
        <v>304</v>
      </c>
      <c r="D104" s="209" t="s">
        <v>273</v>
      </c>
      <c r="E104" s="209" t="s">
        <v>758</v>
      </c>
      <c r="F104" s="185" t="s">
        <v>759</v>
      </c>
      <c r="G104" s="183" t="s">
        <v>205</v>
      </c>
      <c r="H104" s="184" t="s">
        <v>740</v>
      </c>
      <c r="I104" s="194" t="s">
        <v>760</v>
      </c>
      <c r="J104" s="207" t="s">
        <v>336</v>
      </c>
      <c r="K104" s="209" t="s">
        <v>320</v>
      </c>
      <c r="L104" s="184" t="s">
        <v>362</v>
      </c>
      <c r="M104" s="184" t="s">
        <v>195</v>
      </c>
      <c r="N104" s="184" t="s">
        <v>761</v>
      </c>
      <c r="O104" s="184" t="s">
        <v>151</v>
      </c>
      <c r="P104" s="209" t="s">
        <v>762</v>
      </c>
      <c r="Q104" s="187"/>
      <c r="R104" s="187" t="s">
        <v>325</v>
      </c>
      <c r="S104" s="188" t="s">
        <v>195</v>
      </c>
      <c r="T104" s="188" t="s">
        <v>195</v>
      </c>
      <c r="U104" s="189" t="s">
        <v>328</v>
      </c>
      <c r="V104" s="189" t="s">
        <v>329</v>
      </c>
      <c r="W104" s="189" t="s">
        <v>329</v>
      </c>
      <c r="X104" s="189" t="s">
        <v>329</v>
      </c>
      <c r="Y104" s="195" t="s">
        <v>329</v>
      </c>
      <c r="Z104" s="189" t="s">
        <v>329</v>
      </c>
      <c r="AA104" s="195" t="s">
        <v>328</v>
      </c>
      <c r="AB104" s="195" t="s">
        <v>328</v>
      </c>
      <c r="AC104" s="190" t="s">
        <v>195</v>
      </c>
      <c r="AD104" s="191" t="s">
        <v>89</v>
      </c>
      <c r="AE104" s="191" t="s">
        <v>130</v>
      </c>
      <c r="AF104" s="189" t="s">
        <v>90</v>
      </c>
      <c r="AG104" s="191" t="s">
        <v>101</v>
      </c>
      <c r="AH104" s="189" t="str">
        <f t="shared" si="87"/>
        <v>BAJO</v>
      </c>
      <c r="AI104" s="191" t="s">
        <v>114</v>
      </c>
      <c r="AJ104" s="191" t="s">
        <v>121</v>
      </c>
      <c r="AK104" s="189" t="str">
        <f t="shared" si="88"/>
        <v>MEDIO</v>
      </c>
      <c r="AL104" s="192" t="str">
        <f>VLOOKUP($AD104,[18]Tipologías!$B$3:$G$17,2,FALSE)</f>
        <v>BAJO</v>
      </c>
      <c r="AM104" s="192">
        <f t="shared" si="52"/>
        <v>1</v>
      </c>
      <c r="AN104" s="192" t="str">
        <f>VLOOKUP($AE104,[18]Tipologías!$A$21:$C$24,3,FALSE)</f>
        <v>BAJO</v>
      </c>
      <c r="AO104" s="192">
        <f t="shared" si="53"/>
        <v>1</v>
      </c>
      <c r="AP104" s="192">
        <f>VLOOKUP($AI104,[18]Tipologías!$A$38:$B$42,2,FALSE)</f>
        <v>1.5</v>
      </c>
      <c r="AQ104" s="192">
        <f>VLOOKUP($AJ104,[18]Tipologías!$A$46:$B$53,2,FALSE)</f>
        <v>1.25</v>
      </c>
      <c r="AR104" s="192" t="str">
        <f t="shared" si="89"/>
        <v>BAJO</v>
      </c>
      <c r="AS104" s="192" t="str">
        <f>VLOOKUP($AG104,[18]Tipologías!$A$29:$C$33,3,FALSE)</f>
        <v>BAJO</v>
      </c>
      <c r="AT104" s="192" t="str">
        <f t="shared" si="90"/>
        <v>MEDIO</v>
      </c>
      <c r="AU104" s="192" t="str">
        <f t="shared" si="91"/>
        <v>MEDIO</v>
      </c>
      <c r="AV104" s="192" t="str">
        <f>_xlfn.IFNA(VLOOKUP(AD104,[18]Tipologías!$B$3:$G$17,4,0),"")</f>
        <v>INFORMACIÓN PÚBLICA</v>
      </c>
      <c r="AW104" s="192" t="str">
        <f t="shared" si="92"/>
        <v>IPB</v>
      </c>
      <c r="AX104" s="192" t="str">
        <f>_xlfn.IFNA(VLOOKUP(AD104,[18]Tipologías!$B$3:$G$17,3,0),"")</f>
        <v>LEY 1712 DE 2014 LEY DE TRANSPARENCIA Y DERECHO DE ACCESO A LA INFORMACIÓN. ARTÍCULO 6 DEFINICIONES LITERAL B.</v>
      </c>
      <c r="AY104" s="192" t="str">
        <f>_xlfn.IFNA(VLOOKUP(AD104,[18]Tipologías!$B$3:$G$17,5,0),"")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4" s="192" t="str">
        <f>_xlfn.IFNA(VLOOKUP(AD104,[18]Tipologías!$B$3:$G$17,6,0),"")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4" s="187" t="s">
        <v>198</v>
      </c>
      <c r="BB104" s="216">
        <v>45119</v>
      </c>
      <c r="BC104" s="187" t="s">
        <v>201</v>
      </c>
      <c r="BD104" s="191" t="s">
        <v>763</v>
      </c>
      <c r="BE104" s="191" t="s">
        <v>746</v>
      </c>
      <c r="BF104" s="45"/>
      <c r="BG104" s="45"/>
      <c r="BH104" s="45"/>
      <c r="BI104" s="45"/>
      <c r="BJ104" s="45"/>
      <c r="BK104" s="45"/>
      <c r="BL104" s="45"/>
      <c r="BM104" s="45"/>
      <c r="BN104" s="45"/>
      <c r="BO104" s="45"/>
      <c r="BP104" s="45"/>
      <c r="BQ104" s="45"/>
      <c r="BR104" s="45"/>
      <c r="BS104" s="45"/>
      <c r="BT104" s="45"/>
      <c r="BU104" s="45"/>
      <c r="BV104" s="45"/>
      <c r="BW104" s="45"/>
      <c r="BX104" s="45"/>
    </row>
    <row r="105" spans="1:76" s="67" customFormat="1" ht="207.2" customHeight="1" x14ac:dyDescent="0.2">
      <c r="A105" s="76">
        <v>96</v>
      </c>
      <c r="B105" s="183" t="s">
        <v>59</v>
      </c>
      <c r="C105" s="183" t="s">
        <v>304</v>
      </c>
      <c r="D105" s="209" t="s">
        <v>273</v>
      </c>
      <c r="E105" s="209" t="s">
        <v>764</v>
      </c>
      <c r="F105" s="185" t="s">
        <v>765</v>
      </c>
      <c r="G105" s="183" t="s">
        <v>141</v>
      </c>
      <c r="H105" s="184" t="s">
        <v>740</v>
      </c>
      <c r="I105" s="184" t="s">
        <v>766</v>
      </c>
      <c r="J105" s="207" t="s">
        <v>336</v>
      </c>
      <c r="K105" s="209" t="s">
        <v>320</v>
      </c>
      <c r="L105" s="184" t="s">
        <v>362</v>
      </c>
      <c r="M105" s="184" t="s">
        <v>195</v>
      </c>
      <c r="N105" s="184" t="s">
        <v>767</v>
      </c>
      <c r="O105" s="184" t="s">
        <v>151</v>
      </c>
      <c r="P105" s="209" t="s">
        <v>768</v>
      </c>
      <c r="Q105" s="187"/>
      <c r="R105" s="187" t="s">
        <v>325</v>
      </c>
      <c r="S105" s="209" t="s">
        <v>195</v>
      </c>
      <c r="T105" s="209" t="s">
        <v>195</v>
      </c>
      <c r="U105" s="189" t="s">
        <v>328</v>
      </c>
      <c r="V105" s="189" t="s">
        <v>329</v>
      </c>
      <c r="W105" s="189" t="s">
        <v>329</v>
      </c>
      <c r="X105" s="189" t="s">
        <v>329</v>
      </c>
      <c r="Y105" s="189" t="s">
        <v>328</v>
      </c>
      <c r="Z105" s="189" t="s">
        <v>329</v>
      </c>
      <c r="AA105" s="189" t="s">
        <v>328</v>
      </c>
      <c r="AB105" s="189" t="s">
        <v>328</v>
      </c>
      <c r="AC105" s="190" t="s">
        <v>195</v>
      </c>
      <c r="AD105" s="191" t="s">
        <v>89</v>
      </c>
      <c r="AE105" s="191" t="s">
        <v>130</v>
      </c>
      <c r="AF105" s="189" t="s">
        <v>90</v>
      </c>
      <c r="AG105" s="191" t="s">
        <v>101</v>
      </c>
      <c r="AH105" s="189" t="str">
        <f t="shared" si="87"/>
        <v>BAJO</v>
      </c>
      <c r="AI105" s="191" t="s">
        <v>114</v>
      </c>
      <c r="AJ105" s="191" t="s">
        <v>120</v>
      </c>
      <c r="AK105" s="189" t="str">
        <f t="shared" si="88"/>
        <v>ALTO</v>
      </c>
      <c r="AL105" s="192" t="str">
        <f>VLOOKUP($AD105,[18]Tipologías!$B$3:$G$17,2,FALSE)</f>
        <v>BAJO</v>
      </c>
      <c r="AM105" s="192">
        <f t="shared" si="52"/>
        <v>1</v>
      </c>
      <c r="AN105" s="192" t="str">
        <f>VLOOKUP($AE105,[18]Tipologías!$A$21:$C$24,3,FALSE)</f>
        <v>BAJO</v>
      </c>
      <c r="AO105" s="192">
        <f t="shared" si="53"/>
        <v>1</v>
      </c>
      <c r="AP105" s="192">
        <f>VLOOKUP($AI105,[18]Tipologías!$A$38:$B$42,2,FALSE)</f>
        <v>1.5</v>
      </c>
      <c r="AQ105" s="192">
        <f>VLOOKUP($AJ105,[18]Tipologías!$A$46:$B$53,2,FALSE)</f>
        <v>1.5</v>
      </c>
      <c r="AR105" s="192" t="str">
        <f t="shared" si="89"/>
        <v>BAJO</v>
      </c>
      <c r="AS105" s="192" t="str">
        <f>VLOOKUP($AG105,[18]Tipologías!$A$29:$C$33,3,FALSE)</f>
        <v>BAJO</v>
      </c>
      <c r="AT105" s="192" t="str">
        <f t="shared" si="90"/>
        <v>ALTO</v>
      </c>
      <c r="AU105" s="192" t="str">
        <f t="shared" si="91"/>
        <v>MEDIO</v>
      </c>
      <c r="AV105" s="192" t="str">
        <f>_xlfn.IFNA(VLOOKUP(AD105,[18]Tipologías!$B$3:$G$17,4,0),"")</f>
        <v>INFORMACIÓN PÚBLICA</v>
      </c>
      <c r="AW105" s="192" t="str">
        <f t="shared" si="92"/>
        <v>IPB</v>
      </c>
      <c r="AX105" s="192" t="str">
        <f>_xlfn.IFNA(VLOOKUP(AD105,[18]Tipologías!$B$3:$G$17,3,0),"")</f>
        <v>LEY 1712 DE 2014 LEY DE TRANSPARENCIA Y DERECHO DE ACCESO A LA INFORMACIÓN. ARTÍCULO 6 DEFINICIONES LITERAL B.</v>
      </c>
      <c r="AY105" s="192" t="str">
        <f>_xlfn.IFNA(VLOOKUP(AD105,[18]Tipologías!$B$3:$G$17,5,0),"")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5" s="192" t="str">
        <f>_xlfn.IFNA(VLOOKUP(AD105,[18]Tipologías!$B$3:$G$17,6,0),"")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5" s="187" t="s">
        <v>197</v>
      </c>
      <c r="BB105" s="216">
        <v>45119</v>
      </c>
      <c r="BC105" s="187" t="s">
        <v>201</v>
      </c>
      <c r="BD105" s="191" t="s">
        <v>769</v>
      </c>
      <c r="BE105" s="191" t="s">
        <v>746</v>
      </c>
      <c r="BF105" s="45"/>
      <c r="BG105" s="45"/>
      <c r="BH105" s="45"/>
      <c r="BI105" s="45"/>
      <c r="BJ105" s="45"/>
      <c r="BK105" s="45"/>
      <c r="BL105" s="45"/>
      <c r="BM105" s="45"/>
      <c r="BN105" s="45"/>
      <c r="BO105" s="45"/>
      <c r="BP105" s="45"/>
      <c r="BQ105" s="45"/>
      <c r="BR105" s="45"/>
      <c r="BS105" s="45"/>
      <c r="BT105" s="45"/>
      <c r="BU105" s="45"/>
      <c r="BV105" s="45"/>
      <c r="BW105" s="45"/>
      <c r="BX105" s="45"/>
    </row>
    <row r="106" spans="1:76" s="67" customFormat="1" ht="207.2" customHeight="1" x14ac:dyDescent="0.2">
      <c r="A106" s="76">
        <v>97</v>
      </c>
      <c r="B106" s="183" t="s">
        <v>59</v>
      </c>
      <c r="C106" s="183" t="s">
        <v>304</v>
      </c>
      <c r="D106" s="209" t="s">
        <v>273</v>
      </c>
      <c r="E106" s="209" t="s">
        <v>764</v>
      </c>
      <c r="F106" s="185" t="s">
        <v>770</v>
      </c>
      <c r="G106" s="183" t="s">
        <v>199</v>
      </c>
      <c r="H106" s="184" t="s">
        <v>740</v>
      </c>
      <c r="I106" s="184" t="s">
        <v>766</v>
      </c>
      <c r="J106" s="207" t="s">
        <v>336</v>
      </c>
      <c r="K106" s="209" t="s">
        <v>320</v>
      </c>
      <c r="L106" s="184" t="s">
        <v>362</v>
      </c>
      <c r="M106" s="184" t="s">
        <v>195</v>
      </c>
      <c r="N106" s="184" t="s">
        <v>771</v>
      </c>
      <c r="O106" s="184" t="s">
        <v>151</v>
      </c>
      <c r="P106" s="209" t="s">
        <v>540</v>
      </c>
      <c r="Q106" s="187" t="s">
        <v>325</v>
      </c>
      <c r="R106" s="187" t="s">
        <v>325</v>
      </c>
      <c r="S106" s="209" t="s">
        <v>195</v>
      </c>
      <c r="T106" s="209" t="s">
        <v>195</v>
      </c>
      <c r="U106" s="189" t="s">
        <v>329</v>
      </c>
      <c r="V106" s="189" t="s">
        <v>329</v>
      </c>
      <c r="W106" s="189" t="s">
        <v>329</v>
      </c>
      <c r="X106" s="189" t="s">
        <v>329</v>
      </c>
      <c r="Y106" s="189" t="s">
        <v>329</v>
      </c>
      <c r="Z106" s="189" t="s">
        <v>329</v>
      </c>
      <c r="AA106" s="189" t="s">
        <v>195</v>
      </c>
      <c r="AB106" s="189" t="s">
        <v>195</v>
      </c>
      <c r="AC106" s="190" t="s">
        <v>195</v>
      </c>
      <c r="AD106" s="191" t="s">
        <v>89</v>
      </c>
      <c r="AE106" s="191" t="s">
        <v>130</v>
      </c>
      <c r="AF106" s="189" t="s">
        <v>90</v>
      </c>
      <c r="AG106" s="191" t="s">
        <v>101</v>
      </c>
      <c r="AH106" s="189" t="str">
        <f t="shared" si="87"/>
        <v>BAJO</v>
      </c>
      <c r="AI106" s="191" t="s">
        <v>114</v>
      </c>
      <c r="AJ106" s="191" t="s">
        <v>120</v>
      </c>
      <c r="AK106" s="189" t="str">
        <f t="shared" si="88"/>
        <v>ALTO</v>
      </c>
      <c r="AL106" s="192" t="str">
        <f>VLOOKUP($AD106,[18]Tipologías!$B$3:$G$17,2,FALSE)</f>
        <v>BAJO</v>
      </c>
      <c r="AM106" s="192">
        <f t="shared" si="52"/>
        <v>1</v>
      </c>
      <c r="AN106" s="192" t="str">
        <f>VLOOKUP($AE106,[18]Tipologías!$A$21:$C$24,3,FALSE)</f>
        <v>BAJO</v>
      </c>
      <c r="AO106" s="192">
        <f t="shared" si="53"/>
        <v>1</v>
      </c>
      <c r="AP106" s="192">
        <f>VLOOKUP($AI106,[18]Tipologías!$A$38:$B$42,2,FALSE)</f>
        <v>1.5</v>
      </c>
      <c r="AQ106" s="192">
        <f>VLOOKUP($AJ106,[18]Tipologías!$A$46:$B$53,2,FALSE)</f>
        <v>1.5</v>
      </c>
      <c r="AR106" s="192" t="str">
        <f t="shared" si="89"/>
        <v>BAJO</v>
      </c>
      <c r="AS106" s="192" t="str">
        <f>VLOOKUP($AG106,[18]Tipologías!$A$29:$C$33,3,FALSE)</f>
        <v>BAJO</v>
      </c>
      <c r="AT106" s="192" t="str">
        <f t="shared" si="90"/>
        <v>ALTO</v>
      </c>
      <c r="AU106" s="192" t="str">
        <f t="shared" si="91"/>
        <v>MEDIO</v>
      </c>
      <c r="AV106" s="192" t="str">
        <f>_xlfn.IFNA(VLOOKUP(AD106,[18]Tipologías!$B$3:$G$17,4,0),"")</f>
        <v>INFORMACIÓN PÚBLICA</v>
      </c>
      <c r="AW106" s="192" t="str">
        <f t="shared" si="92"/>
        <v>IPB</v>
      </c>
      <c r="AX106" s="192" t="str">
        <f>_xlfn.IFNA(VLOOKUP(AD106,[18]Tipologías!$B$3:$G$17,3,0),"")</f>
        <v>LEY 1712 DE 2014 LEY DE TRANSPARENCIA Y DERECHO DE ACCESO A LA INFORMACIÓN. ARTÍCULO 6 DEFINICIONES LITERAL B.</v>
      </c>
      <c r="AY106" s="192" t="str">
        <f>_xlfn.IFNA(VLOOKUP(AD106,[18]Tipologías!$B$3:$G$17,5,0),"")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6" s="192" t="str">
        <f>_xlfn.IFNA(VLOOKUP(AD106,[18]Tipologías!$B$3:$G$17,6,0),"")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6" s="187" t="s">
        <v>197</v>
      </c>
      <c r="BB106" s="216">
        <v>45119</v>
      </c>
      <c r="BC106" s="187" t="s">
        <v>201</v>
      </c>
      <c r="BD106" s="191" t="s">
        <v>769</v>
      </c>
      <c r="BE106" s="191" t="s">
        <v>746</v>
      </c>
      <c r="BF106" s="45"/>
      <c r="BG106" s="45"/>
      <c r="BH106" s="45"/>
      <c r="BI106" s="45"/>
      <c r="BJ106" s="45"/>
      <c r="BK106" s="45"/>
      <c r="BL106" s="45"/>
      <c r="BM106" s="45"/>
      <c r="BN106" s="45"/>
      <c r="BO106" s="45"/>
      <c r="BP106" s="45"/>
      <c r="BQ106" s="45"/>
      <c r="BR106" s="45"/>
      <c r="BS106" s="45"/>
      <c r="BT106" s="45"/>
      <c r="BU106" s="45"/>
      <c r="BV106" s="45"/>
      <c r="BW106" s="45"/>
      <c r="BX106" s="45"/>
    </row>
    <row r="107" spans="1:76" s="67" customFormat="1" ht="207.2" customHeight="1" x14ac:dyDescent="0.2">
      <c r="A107" s="76">
        <v>98</v>
      </c>
      <c r="B107" s="183" t="s">
        <v>59</v>
      </c>
      <c r="C107" s="183" t="s">
        <v>304</v>
      </c>
      <c r="D107" s="209" t="s">
        <v>273</v>
      </c>
      <c r="E107" s="209" t="s">
        <v>772</v>
      </c>
      <c r="F107" s="184" t="s">
        <v>773</v>
      </c>
      <c r="G107" s="183" t="s">
        <v>205</v>
      </c>
      <c r="H107" s="184" t="s">
        <v>740</v>
      </c>
      <c r="I107" s="184" t="s">
        <v>740</v>
      </c>
      <c r="J107" s="207" t="s">
        <v>336</v>
      </c>
      <c r="K107" s="209" t="s">
        <v>320</v>
      </c>
      <c r="L107" s="184" t="s">
        <v>321</v>
      </c>
      <c r="M107" s="184" t="s">
        <v>774</v>
      </c>
      <c r="N107" s="184" t="s">
        <v>775</v>
      </c>
      <c r="O107" s="184" t="s">
        <v>151</v>
      </c>
      <c r="P107" s="209" t="s">
        <v>776</v>
      </c>
      <c r="Q107" s="187" t="s">
        <v>325</v>
      </c>
      <c r="R107" s="187" t="s">
        <v>325</v>
      </c>
      <c r="S107" s="209" t="s">
        <v>195</v>
      </c>
      <c r="T107" s="209" t="s">
        <v>195</v>
      </c>
      <c r="U107" s="189" t="s">
        <v>328</v>
      </c>
      <c r="V107" s="189" t="s">
        <v>328</v>
      </c>
      <c r="W107" s="189" t="s">
        <v>329</v>
      </c>
      <c r="X107" s="189" t="s">
        <v>329</v>
      </c>
      <c r="Y107" s="189" t="s">
        <v>329</v>
      </c>
      <c r="Z107" s="189" t="s">
        <v>329</v>
      </c>
      <c r="AA107" s="189" t="s">
        <v>329</v>
      </c>
      <c r="AB107" s="189" t="s">
        <v>329</v>
      </c>
      <c r="AC107" s="191" t="s">
        <v>195</v>
      </c>
      <c r="AD107" s="191" t="s">
        <v>89</v>
      </c>
      <c r="AE107" s="191" t="s">
        <v>132</v>
      </c>
      <c r="AF107" s="189" t="s">
        <v>90</v>
      </c>
      <c r="AG107" s="191" t="s">
        <v>101</v>
      </c>
      <c r="AH107" s="189" t="s">
        <v>90</v>
      </c>
      <c r="AI107" s="191" t="s">
        <v>113</v>
      </c>
      <c r="AJ107" s="191" t="s">
        <v>124</v>
      </c>
      <c r="AK107" s="189" t="s">
        <v>92</v>
      </c>
      <c r="AL107" s="192" t="str">
        <f>VLOOKUP($AD107,[18]Tipologías!$B$3:$G$17,2,FALSE)</f>
        <v>BAJO</v>
      </c>
      <c r="AM107" s="192">
        <f t="shared" si="52"/>
        <v>1</v>
      </c>
      <c r="AN107" s="192" t="str">
        <f>VLOOKUP($AE107,[18]Tipologías!$A$21:$C$24,3,FALSE)</f>
        <v>MEDIO</v>
      </c>
      <c r="AO107" s="192">
        <f t="shared" si="53"/>
        <v>2</v>
      </c>
      <c r="AP107" s="192">
        <f>VLOOKUP($AI107,[18]Tipologías!$A$38:$B$42,2,FALSE)</f>
        <v>1</v>
      </c>
      <c r="AQ107" s="192">
        <f>VLOOKUP($AJ107,[18]Tipologías!$A$46:$B$53,2,FALSE)</f>
        <v>0.25</v>
      </c>
      <c r="AR107" s="192" t="str">
        <f t="shared" si="89"/>
        <v>MEDIO</v>
      </c>
      <c r="AS107" s="192" t="str">
        <f>VLOOKUP($AG107,[18]Tipologías!$A$29:$C$33,3,FALSE)</f>
        <v>BAJO</v>
      </c>
      <c r="AT107" s="192" t="str">
        <f t="shared" si="90"/>
        <v>BAJO</v>
      </c>
      <c r="AU107" s="192" t="str">
        <f t="shared" si="91"/>
        <v>MEDIO</v>
      </c>
      <c r="AV107" s="192" t="str">
        <f>_xlfn.IFNA(VLOOKUP(AD107,[18]Tipologías!$B$3:$G$17,4,0),"")</f>
        <v>INFORMACIÓN PÚBLICA</v>
      </c>
      <c r="AW107" s="192" t="str">
        <f t="shared" si="92"/>
        <v>IPB</v>
      </c>
      <c r="AX107" s="192" t="str">
        <f>_xlfn.IFNA(VLOOKUP(AD107,[18]Tipologías!$B$3:$G$17,3,0),"")</f>
        <v>LEY 1712 DE 2014 LEY DE TRANSPARENCIA Y DERECHO DE ACCESO A LA INFORMACIÓN. ARTÍCULO 6 DEFINICIONES LITERAL B.</v>
      </c>
      <c r="AY107" s="192" t="str">
        <f>_xlfn.IFNA(VLOOKUP(AD107,[18]Tipologías!$B$3:$G$17,5,0),"")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7" s="192" t="str">
        <f>_xlfn.IFNA(VLOOKUP(AD107,[18]Tipologías!$B$3:$G$17,6,0),"")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7" s="187" t="s">
        <v>195</v>
      </c>
      <c r="BB107" s="216">
        <v>45119</v>
      </c>
      <c r="BC107" s="187" t="s">
        <v>201</v>
      </c>
      <c r="BD107" s="191" t="s">
        <v>777</v>
      </c>
      <c r="BE107" s="191" t="s">
        <v>746</v>
      </c>
      <c r="BF107" s="45"/>
      <c r="BG107" s="45"/>
      <c r="BH107" s="45"/>
      <c r="BI107" s="45"/>
      <c r="BJ107" s="45"/>
      <c r="BK107" s="45"/>
      <c r="BL107" s="45"/>
      <c r="BM107" s="45"/>
      <c r="BN107" s="45"/>
      <c r="BO107" s="45"/>
      <c r="BP107" s="45"/>
      <c r="BQ107" s="45"/>
      <c r="BR107" s="45"/>
      <c r="BS107" s="45"/>
      <c r="BT107" s="45"/>
      <c r="BU107" s="45"/>
      <c r="BV107" s="45"/>
      <c r="BW107" s="45"/>
      <c r="BX107" s="45"/>
    </row>
    <row r="108" spans="1:76" s="67" customFormat="1" ht="207.2" customHeight="1" x14ac:dyDescent="0.2">
      <c r="A108" s="76">
        <v>99</v>
      </c>
      <c r="B108" s="117" t="s">
        <v>59</v>
      </c>
      <c r="C108" s="117" t="s">
        <v>303</v>
      </c>
      <c r="D108" s="120" t="s">
        <v>287</v>
      </c>
      <c r="E108" s="120" t="s">
        <v>778</v>
      </c>
      <c r="F108" s="131" t="s">
        <v>779</v>
      </c>
      <c r="G108" s="117" t="s">
        <v>139</v>
      </c>
      <c r="H108" s="102" t="s">
        <v>287</v>
      </c>
      <c r="I108" s="131" t="s">
        <v>780</v>
      </c>
      <c r="J108" s="151" t="s">
        <v>397</v>
      </c>
      <c r="K108" s="120" t="s">
        <v>320</v>
      </c>
      <c r="L108" s="131" t="s">
        <v>321</v>
      </c>
      <c r="M108" s="131" t="s">
        <v>781</v>
      </c>
      <c r="N108" s="131" t="s">
        <v>195</v>
      </c>
      <c r="O108" s="131" t="s">
        <v>146</v>
      </c>
      <c r="P108" s="120" t="s">
        <v>195</v>
      </c>
      <c r="Q108" s="119" t="s">
        <v>325</v>
      </c>
      <c r="R108" s="119" t="s">
        <v>325</v>
      </c>
      <c r="S108" s="120" t="s">
        <v>195</v>
      </c>
      <c r="T108" s="120" t="s">
        <v>195</v>
      </c>
      <c r="U108" s="196" t="s">
        <v>328</v>
      </c>
      <c r="V108" s="196" t="s">
        <v>328</v>
      </c>
      <c r="W108" s="121" t="s">
        <v>329</v>
      </c>
      <c r="X108" s="121" t="s">
        <v>329</v>
      </c>
      <c r="Y108" s="121" t="s">
        <v>329</v>
      </c>
      <c r="Z108" s="121" t="s">
        <v>329</v>
      </c>
      <c r="AA108" s="121" t="s">
        <v>195</v>
      </c>
      <c r="AB108" s="121" t="s">
        <v>195</v>
      </c>
      <c r="AC108" s="158" t="s">
        <v>195</v>
      </c>
      <c r="AD108" s="123" t="s">
        <v>216</v>
      </c>
      <c r="AE108" s="123" t="s">
        <v>134</v>
      </c>
      <c r="AF108" s="121" t="str">
        <f t="shared" ref="AF108:AF110" si="93">AR108</f>
        <v>ALTO</v>
      </c>
      <c r="AG108" s="123" t="s">
        <v>104</v>
      </c>
      <c r="AH108" s="121" t="str">
        <f>_xlfn.IFNA((AS108),"")</f>
        <v>ALTO</v>
      </c>
      <c r="AI108" s="123" t="s">
        <v>111</v>
      </c>
      <c r="AJ108" s="123" t="s">
        <v>121</v>
      </c>
      <c r="AK108" s="121" t="str">
        <f>_xlfn.IFNA((AT108),"")</f>
        <v>BAJO</v>
      </c>
      <c r="AL108" s="124" t="str">
        <f>VLOOKUP($AD108,[19]Tipologías!$B$3:$G$17,2,FALSE)</f>
        <v>ALTO</v>
      </c>
      <c r="AM108" s="124">
        <f t="shared" si="52"/>
        <v>3</v>
      </c>
      <c r="AN108" s="124" t="str">
        <f>VLOOKUP($AE108,[19]Tipologías!$A$21:$C$24,3,FALSE)</f>
        <v>ALTO</v>
      </c>
      <c r="AO108" s="124">
        <f t="shared" si="53"/>
        <v>3</v>
      </c>
      <c r="AP108" s="124">
        <f>VLOOKUP($AI108,[19]Tipologías!$A$38:$B$42,2,FALSE)</f>
        <v>0.5</v>
      </c>
      <c r="AQ108" s="124">
        <f>VLOOKUP($AJ108,[19]Tipologías!$A$46:$B$53,2,FALSE)</f>
        <v>1.25</v>
      </c>
      <c r="AR108" s="124" t="str">
        <f t="shared" si="89"/>
        <v>ALTO</v>
      </c>
      <c r="AS108" s="124" t="str">
        <f>VLOOKUP($AG108,[19]Tipologías!$A$29:$C$33,3,FALSE)</f>
        <v>ALTO</v>
      </c>
      <c r="AT108" s="124" t="str">
        <f t="shared" si="90"/>
        <v>BAJO</v>
      </c>
      <c r="AU108" s="124" t="str">
        <f t="shared" si="91"/>
        <v>ALTO</v>
      </c>
      <c r="AV108" s="124" t="str">
        <f>_xlfn.IFNA(VLOOKUP(AD108,[19]Tipologías!$B$3:$G$17,4,0),"")</f>
        <v>INFORMACIÓN PÚBLICA RESERVADA</v>
      </c>
      <c r="AW108" s="124" t="str">
        <f t="shared" si="92"/>
        <v>IPR</v>
      </c>
      <c r="AX108" s="124" t="str">
        <f>_xlfn.IFNA(VLOOKUP(AD108,[19]Tipologías!$B$3:$G$17,3,0),"")</f>
        <v>LEY 1712   DE 2014 ARTÍCULO 19 LITERAL H "LA ESTABILIDAD MACROECONÓMICA Y FINANCIERA DEL PAÍS."</v>
      </c>
      <c r="AY108" s="124" t="str">
        <f>_xlfn.IFNA(VLOOKUP(AD108,[19]Tipologías!$B$3:$G$17,5,0),"")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108" s="124" t="str">
        <f>_xlfn.IFNA(VLOOKUP(AD108,[19]Tipologías!$B$3:$G$17,6,0),"")</f>
        <v xml:space="preserve">LEY 1712 DE 2014 ARTÍCULO 19  </v>
      </c>
      <c r="BA108" s="119" t="s">
        <v>196</v>
      </c>
      <c r="BB108" s="217">
        <v>45133</v>
      </c>
      <c r="BC108" s="119" t="s">
        <v>201</v>
      </c>
      <c r="BD108" s="123" t="s">
        <v>782</v>
      </c>
      <c r="BE108" s="123" t="s">
        <v>783</v>
      </c>
      <c r="BF108" s="45"/>
      <c r="BG108" s="45"/>
      <c r="BH108" s="45"/>
      <c r="BI108" s="45"/>
      <c r="BJ108" s="45"/>
      <c r="BK108" s="45"/>
      <c r="BL108" s="45"/>
      <c r="BM108" s="45"/>
      <c r="BN108" s="45"/>
      <c r="BO108" s="45"/>
      <c r="BP108" s="45"/>
      <c r="BQ108" s="45"/>
      <c r="BR108" s="45"/>
      <c r="BS108" s="45"/>
      <c r="BT108" s="45"/>
      <c r="BU108" s="45"/>
      <c r="BV108" s="45"/>
      <c r="BW108" s="45"/>
      <c r="BX108" s="45"/>
    </row>
    <row r="109" spans="1:76" s="67" customFormat="1" ht="207.2" customHeight="1" x14ac:dyDescent="0.2">
      <c r="A109" s="76">
        <v>100</v>
      </c>
      <c r="B109" s="117" t="s">
        <v>59</v>
      </c>
      <c r="C109" s="117" t="s">
        <v>303</v>
      </c>
      <c r="D109" s="120" t="s">
        <v>287</v>
      </c>
      <c r="E109" s="120" t="s">
        <v>784</v>
      </c>
      <c r="F109" s="131" t="s">
        <v>785</v>
      </c>
      <c r="G109" s="117" t="s">
        <v>141</v>
      </c>
      <c r="H109" s="102" t="s">
        <v>287</v>
      </c>
      <c r="I109" s="131" t="s">
        <v>786</v>
      </c>
      <c r="J109" s="151" t="s">
        <v>336</v>
      </c>
      <c r="K109" s="182" t="s">
        <v>320</v>
      </c>
      <c r="L109" s="131" t="s">
        <v>362</v>
      </c>
      <c r="M109" s="131" t="s">
        <v>195</v>
      </c>
      <c r="N109" s="131" t="s">
        <v>787</v>
      </c>
      <c r="O109" s="131" t="s">
        <v>145</v>
      </c>
      <c r="P109" s="120" t="s">
        <v>788</v>
      </c>
      <c r="Q109" s="119" t="s">
        <v>325</v>
      </c>
      <c r="R109" s="119" t="s">
        <v>325</v>
      </c>
      <c r="S109" s="120" t="s">
        <v>195</v>
      </c>
      <c r="T109" s="120" t="s">
        <v>195</v>
      </c>
      <c r="U109" s="196" t="s">
        <v>329</v>
      </c>
      <c r="V109" s="196" t="s">
        <v>195</v>
      </c>
      <c r="W109" s="121" t="s">
        <v>195</v>
      </c>
      <c r="X109" s="121" t="s">
        <v>195</v>
      </c>
      <c r="Y109" s="121" t="s">
        <v>195</v>
      </c>
      <c r="Z109" s="121" t="s">
        <v>195</v>
      </c>
      <c r="AA109" s="121" t="s">
        <v>195</v>
      </c>
      <c r="AB109" s="121" t="s">
        <v>195</v>
      </c>
      <c r="AC109" s="158" t="s">
        <v>195</v>
      </c>
      <c r="AD109" s="123" t="s">
        <v>89</v>
      </c>
      <c r="AE109" s="123" t="s">
        <v>130</v>
      </c>
      <c r="AF109" s="121" t="str">
        <f t="shared" si="93"/>
        <v>BAJO</v>
      </c>
      <c r="AG109" s="123" t="s">
        <v>101</v>
      </c>
      <c r="AH109" s="121" t="str">
        <f t="shared" ref="AH109:AH110" si="94">_xlfn.IFNA((AS109),"")</f>
        <v>BAJO</v>
      </c>
      <c r="AI109" s="123" t="s">
        <v>114</v>
      </c>
      <c r="AJ109" s="123" t="s">
        <v>119</v>
      </c>
      <c r="AK109" s="121" t="str">
        <f t="shared" ref="AK109:AK110" si="95">_xlfn.IFNA((AT109),"")</f>
        <v>ALTO</v>
      </c>
      <c r="AL109" s="124" t="str">
        <f>VLOOKUP($AD109,[19]Tipologías!$B$3:$G$17,2,FALSE)</f>
        <v>BAJO</v>
      </c>
      <c r="AM109" s="124">
        <f t="shared" si="52"/>
        <v>1</v>
      </c>
      <c r="AN109" s="124" t="str">
        <f>VLOOKUP($AE109,[19]Tipologías!$A$21:$C$24,3,FALSE)</f>
        <v>BAJO</v>
      </c>
      <c r="AO109" s="124">
        <f t="shared" si="53"/>
        <v>1</v>
      </c>
      <c r="AP109" s="124">
        <f>VLOOKUP($AI109,[19]Tipologías!$A$38:$B$42,2,FALSE)</f>
        <v>1.5</v>
      </c>
      <c r="AQ109" s="124">
        <f>VLOOKUP($AJ109,[19]Tipologías!$A$46:$B$53,2,FALSE)</f>
        <v>2</v>
      </c>
      <c r="AR109" s="124" t="str">
        <f t="shared" si="89"/>
        <v>BAJO</v>
      </c>
      <c r="AS109" s="124" t="str">
        <f>VLOOKUP($AG109,[19]Tipologías!$A$29:$C$33,3,FALSE)</f>
        <v>BAJO</v>
      </c>
      <c r="AT109" s="124" t="str">
        <f t="shared" si="90"/>
        <v>ALTO</v>
      </c>
      <c r="AU109" s="124" t="str">
        <f t="shared" ref="AU109:AU110" si="96">_xlfn.IFNA(IF(AND(AR109="BAJO",AS109="BAJO",AT109="BAJO"),"BAJO",IF(AND(AR109="ALTO",AS109="ALTO",AT109="ALTO"),"ALTO",IF(COUNTIF(AR109:AT109,"ALTO")=2,"ALTO","MEDIO")))," ")</f>
        <v>MEDIO</v>
      </c>
      <c r="AV109" s="124" t="str">
        <f>_xlfn.IFNA(VLOOKUP(AD109,[19]Tipologías!$B$3:$G$17,4,0),"")</f>
        <v>INFORMACIÓN PÚBLICA</v>
      </c>
      <c r="AW109" s="124" t="str">
        <f t="shared" si="92"/>
        <v>IPB</v>
      </c>
      <c r="AX109" s="124" t="str">
        <f>_xlfn.IFNA(VLOOKUP(AD109,[19]Tipologías!$B$3:$G$17,3,0),"")</f>
        <v>LEY 1712 DE 2014 LEY DE TRANSPARENCIA Y DERECHO DE ACCESO A LA INFORMACIÓN. ARTÍCULO 6 DEFINICIONES LITERAL B.</v>
      </c>
      <c r="AY109" s="124" t="str">
        <f>_xlfn.IFNA(VLOOKUP(AD109,[19]Tipologías!$B$3:$G$17,5,0),"")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9" s="124" t="str">
        <f>_xlfn.IFNA(VLOOKUP(AD109,[19]Tipologías!$B$3:$G$17,6,0),"")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9" s="119" t="s">
        <v>195</v>
      </c>
      <c r="BB109" s="217">
        <v>45133</v>
      </c>
      <c r="BC109" s="119" t="s">
        <v>195</v>
      </c>
      <c r="BD109" s="123" t="s">
        <v>782</v>
      </c>
      <c r="BE109" s="123" t="s">
        <v>783</v>
      </c>
      <c r="BF109" s="45"/>
      <c r="BG109" s="45"/>
      <c r="BH109" s="45"/>
      <c r="BI109" s="45"/>
      <c r="BJ109" s="45"/>
      <c r="BK109" s="45"/>
      <c r="BL109" s="45"/>
      <c r="BM109" s="45"/>
      <c r="BN109" s="45"/>
      <c r="BO109" s="45"/>
      <c r="BP109" s="45"/>
      <c r="BQ109" s="45"/>
      <c r="BR109" s="45"/>
      <c r="BS109" s="45"/>
      <c r="BT109" s="45"/>
      <c r="BU109" s="45"/>
      <c r="BV109" s="45"/>
      <c r="BW109" s="45"/>
      <c r="BX109" s="45"/>
    </row>
    <row r="110" spans="1:76" s="67" customFormat="1" ht="207.2" customHeight="1" x14ac:dyDescent="0.2">
      <c r="A110" s="76">
        <v>101</v>
      </c>
      <c r="B110" s="117" t="s">
        <v>59</v>
      </c>
      <c r="C110" s="117" t="s">
        <v>303</v>
      </c>
      <c r="D110" s="120" t="s">
        <v>287</v>
      </c>
      <c r="E110" s="120" t="s">
        <v>789</v>
      </c>
      <c r="F110" s="131" t="s">
        <v>790</v>
      </c>
      <c r="G110" s="117" t="s">
        <v>205</v>
      </c>
      <c r="H110" s="102" t="s">
        <v>287</v>
      </c>
      <c r="I110" s="102" t="s">
        <v>287</v>
      </c>
      <c r="J110" s="151" t="s">
        <v>336</v>
      </c>
      <c r="K110" s="182" t="s">
        <v>320</v>
      </c>
      <c r="L110" s="131" t="s">
        <v>362</v>
      </c>
      <c r="M110" s="131" t="s">
        <v>195</v>
      </c>
      <c r="N110" s="131" t="s">
        <v>791</v>
      </c>
      <c r="O110" s="131" t="s">
        <v>144</v>
      </c>
      <c r="P110" s="120" t="s">
        <v>792</v>
      </c>
      <c r="Q110" s="119" t="s">
        <v>325</v>
      </c>
      <c r="R110" s="119" t="s">
        <v>325</v>
      </c>
      <c r="S110" s="120" t="s">
        <v>195</v>
      </c>
      <c r="T110" s="120" t="s">
        <v>195</v>
      </c>
      <c r="U110" s="196" t="s">
        <v>328</v>
      </c>
      <c r="V110" s="196" t="s">
        <v>328</v>
      </c>
      <c r="W110" s="121" t="s">
        <v>328</v>
      </c>
      <c r="X110" s="121" t="s">
        <v>329</v>
      </c>
      <c r="Y110" s="121" t="s">
        <v>329</v>
      </c>
      <c r="Z110" s="121" t="s">
        <v>329</v>
      </c>
      <c r="AA110" s="121" t="s">
        <v>328</v>
      </c>
      <c r="AB110" s="121" t="s">
        <v>328</v>
      </c>
      <c r="AC110" s="158" t="s">
        <v>195</v>
      </c>
      <c r="AD110" s="123" t="s">
        <v>89</v>
      </c>
      <c r="AE110" s="123" t="s">
        <v>130</v>
      </c>
      <c r="AF110" s="121" t="str">
        <f t="shared" si="93"/>
        <v>BAJO</v>
      </c>
      <c r="AG110" s="123" t="s">
        <v>101</v>
      </c>
      <c r="AH110" s="121" t="str">
        <f t="shared" si="94"/>
        <v>BAJO</v>
      </c>
      <c r="AI110" s="123" t="s">
        <v>113</v>
      </c>
      <c r="AJ110" s="123" t="s">
        <v>117</v>
      </c>
      <c r="AK110" s="121" t="str">
        <f t="shared" si="95"/>
        <v>ALTO</v>
      </c>
      <c r="AL110" s="124" t="str">
        <f>VLOOKUP($AD110,[19]Tipologías!$B$3:$G$17,2,FALSE)</f>
        <v>BAJO</v>
      </c>
      <c r="AM110" s="124">
        <f t="shared" si="52"/>
        <v>1</v>
      </c>
      <c r="AN110" s="124" t="str">
        <f>VLOOKUP($AE110,[19]Tipologías!$A$21:$C$24,3,FALSE)</f>
        <v>BAJO</v>
      </c>
      <c r="AO110" s="124">
        <f t="shared" si="53"/>
        <v>1</v>
      </c>
      <c r="AP110" s="124">
        <f>VLOOKUP($AI110,[19]Tipologías!$A$38:$B$42,2,FALSE)</f>
        <v>1</v>
      </c>
      <c r="AQ110" s="124">
        <f>VLOOKUP($AJ110,[19]Tipologías!$A$46:$B$53,2,FALSE)</f>
        <v>2.5</v>
      </c>
      <c r="AR110" s="124" t="str">
        <f t="shared" si="89"/>
        <v>BAJO</v>
      </c>
      <c r="AS110" s="124" t="str">
        <f>VLOOKUP($AG110,[19]Tipologías!$A$29:$C$33,3,FALSE)</f>
        <v>BAJO</v>
      </c>
      <c r="AT110" s="124" t="str">
        <f t="shared" si="90"/>
        <v>ALTO</v>
      </c>
      <c r="AU110" s="124" t="str">
        <f t="shared" si="96"/>
        <v>MEDIO</v>
      </c>
      <c r="AV110" s="124" t="str">
        <f>_xlfn.IFNA(VLOOKUP(AD110,[19]Tipologías!$B$3:$G$17,4,0),"")</f>
        <v>INFORMACIÓN PÚBLICA</v>
      </c>
      <c r="AW110" s="124" t="str">
        <f t="shared" si="92"/>
        <v>IPB</v>
      </c>
      <c r="AX110" s="124" t="str">
        <f>_xlfn.IFNA(VLOOKUP(AD110,[19]Tipologías!$B$3:$G$17,3,0),"")</f>
        <v>LEY 1712 DE 2014 LEY DE TRANSPARENCIA Y DERECHO DE ACCESO A LA INFORMACIÓN. ARTÍCULO 6 DEFINICIONES LITERAL B.</v>
      </c>
      <c r="AY110" s="124" t="str">
        <f>_xlfn.IFNA(VLOOKUP(AD110,[19]Tipologías!$B$3:$G$17,5,0),"")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0" s="124" t="str">
        <f>_xlfn.IFNA(VLOOKUP(AD110,[19]Tipologías!$B$3:$G$17,6,0),"")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0" s="119" t="s">
        <v>195</v>
      </c>
      <c r="BB110" s="217">
        <v>45133</v>
      </c>
      <c r="BC110" s="119" t="s">
        <v>195</v>
      </c>
      <c r="BD110" s="123" t="s">
        <v>782</v>
      </c>
      <c r="BE110" s="123" t="s">
        <v>783</v>
      </c>
      <c r="BF110" s="45"/>
      <c r="BG110" s="45"/>
      <c r="BH110" s="45"/>
      <c r="BI110" s="45"/>
      <c r="BJ110" s="45"/>
      <c r="BK110" s="45"/>
      <c r="BL110" s="45"/>
      <c r="BM110" s="45"/>
      <c r="BN110" s="45"/>
      <c r="BO110" s="45"/>
      <c r="BP110" s="45"/>
      <c r="BQ110" s="45"/>
      <c r="BR110" s="45"/>
      <c r="BS110" s="45"/>
      <c r="BT110" s="45"/>
      <c r="BU110" s="45"/>
      <c r="BV110" s="45"/>
      <c r="BW110" s="45"/>
      <c r="BX110" s="45"/>
    </row>
    <row r="111" spans="1:76" s="67" customFormat="1" ht="207.2" customHeight="1" x14ac:dyDescent="0.2">
      <c r="A111" s="76">
        <v>102</v>
      </c>
      <c r="B111" s="74" t="s">
        <v>62</v>
      </c>
      <c r="C111" s="74" t="s">
        <v>307</v>
      </c>
      <c r="D111" s="100" t="s">
        <v>284</v>
      </c>
      <c r="E111" s="100" t="s">
        <v>793</v>
      </c>
      <c r="F111" s="75" t="s">
        <v>794</v>
      </c>
      <c r="G111" s="74" t="s">
        <v>205</v>
      </c>
      <c r="H111" s="75" t="s">
        <v>795</v>
      </c>
      <c r="I111" s="75" t="s">
        <v>284</v>
      </c>
      <c r="J111" s="107" t="s">
        <v>336</v>
      </c>
      <c r="K111" s="100" t="s">
        <v>320</v>
      </c>
      <c r="L111" s="75" t="s">
        <v>321</v>
      </c>
      <c r="M111" s="75" t="s">
        <v>796</v>
      </c>
      <c r="N111" s="75" t="s">
        <v>796</v>
      </c>
      <c r="O111" s="75" t="s">
        <v>151</v>
      </c>
      <c r="P111" s="100" t="s">
        <v>797</v>
      </c>
      <c r="Q111" s="76" t="s">
        <v>325</v>
      </c>
      <c r="R111" s="76"/>
      <c r="S111" s="100" t="s">
        <v>195</v>
      </c>
      <c r="T111" s="100" t="s">
        <v>195</v>
      </c>
      <c r="U111" s="77" t="s">
        <v>328</v>
      </c>
      <c r="V111" s="77" t="s">
        <v>328</v>
      </c>
      <c r="W111" s="77" t="s">
        <v>328</v>
      </c>
      <c r="X111" s="77" t="s">
        <v>328</v>
      </c>
      <c r="Y111" s="77" t="s">
        <v>328</v>
      </c>
      <c r="Z111" s="77" t="s">
        <v>328</v>
      </c>
      <c r="AA111" s="77" t="s">
        <v>195</v>
      </c>
      <c r="AB111" s="77" t="s">
        <v>195</v>
      </c>
      <c r="AC111" s="79" t="s">
        <v>195</v>
      </c>
      <c r="AD111" s="78" t="s">
        <v>208</v>
      </c>
      <c r="AE111" s="78" t="s">
        <v>132</v>
      </c>
      <c r="AF111" s="136" t="str">
        <f>AR111</f>
        <v>ALTO</v>
      </c>
      <c r="AG111" s="78" t="s">
        <v>104</v>
      </c>
      <c r="AH111" s="136" t="str">
        <f>_xlfn.IFNA((AS111),"")</f>
        <v>ALTO</v>
      </c>
      <c r="AI111" s="78" t="s">
        <v>114</v>
      </c>
      <c r="AJ111" s="78" t="s">
        <v>120</v>
      </c>
      <c r="AK111" s="136" t="str">
        <f>_xlfn.IFNA((AT111),"")</f>
        <v>ALTO</v>
      </c>
      <c r="AL111" s="80" t="str">
        <f>VLOOKUP($AD111,[20]Tipologías!$B$3:$G$17,2,FALSE)</f>
        <v>ALTO</v>
      </c>
      <c r="AM111" s="80">
        <f t="shared" si="52"/>
        <v>3</v>
      </c>
      <c r="AN111" s="80" t="str">
        <f>VLOOKUP($AE111,[20]Tipologías!$A$21:$C$24,3,FALSE)</f>
        <v>MEDIO</v>
      </c>
      <c r="AO111" s="80">
        <f t="shared" si="53"/>
        <v>2</v>
      </c>
      <c r="AP111" s="80">
        <f>VLOOKUP($AI111,[20]Tipologías!$A$38:$B$42,2,FALSE)</f>
        <v>1.5</v>
      </c>
      <c r="AQ111" s="80">
        <f>VLOOKUP($AJ111,[20]Tipologías!$A$46:$B$53,2,FALSE)</f>
        <v>1.5</v>
      </c>
      <c r="AR111" s="80" t="str">
        <f>IF(MAX(AM111,AO111)=3,"ALTO",IF(MAX(AM111,AO111)=2,"MEDIO",IF(MAX(AM111,AO111)=1,"BAJO","  ")))</f>
        <v>ALTO</v>
      </c>
      <c r="AS111" s="80" t="str">
        <f>VLOOKUP($AG111,[20]Tipologías!$A$29:$C$33,3,FALSE)</f>
        <v>ALTO</v>
      </c>
      <c r="AT111" s="80" t="str">
        <f>IF(SUM($AP111,$AQ111)&gt;=3,"ALTO",IF(SUM($AP111,$AQ111)&lt;2,"BAJO","MEDIO"))</f>
        <v>ALTO</v>
      </c>
      <c r="AU111" s="80" t="str">
        <f>_xlfn.IFNA(IF(AND(AR111="BAJO",AS111="BAJO",AT111="BAJO"),"BAJO",IF(AND(AR111="ALTO",AS111="ALTO",AT111="ALTO"),"ALTO",IF(COUNTIF(AR111:AT111,"ALTO")=2,"ALTO","MEDIO")))," ")</f>
        <v>ALTO</v>
      </c>
      <c r="AV111" s="80" t="str">
        <f>_xlfn.IFNA(VLOOKUP(AD111,[20]Tipologías!$B$3:$G$17,4,0),"")</f>
        <v>INFORMACIÓN PÚBLICA CLASIFICADA</v>
      </c>
      <c r="AW111" s="80" t="str">
        <f>IF(AV111="INFORMACIÓN PÚBLICA","IPB",IF(AV111="INFORMACIÓN PÚBLICA CLASIFICADA","IPC",IF(AV111="INFORMACIÓN PÚBLICA RESERVADA","IPR",IF(AV111="",""))))</f>
        <v>IPC</v>
      </c>
      <c r="AX111" s="80" t="str">
        <f>_xlfn.IFNA(VLOOKUP(AD111,[20]Tipologías!$B$3:$G$17,3,0),"")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1" s="80" t="str">
        <f>_xlfn.IFNA(VLOOKUP(AD111,[20]Tipologías!$B$3:$G$17,5,0),"")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1" s="80" t="str">
        <f>_xlfn.IFNA(VLOOKUP(AD111,[20]Tipologías!$B$3:$G$17,6,0),"")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1" s="76" t="s">
        <v>196</v>
      </c>
      <c r="BB111" s="215">
        <v>45229</v>
      </c>
      <c r="BC111" s="76" t="s">
        <v>201</v>
      </c>
      <c r="BD111" s="78" t="s">
        <v>798</v>
      </c>
      <c r="BE111" s="78" t="s">
        <v>799</v>
      </c>
      <c r="BF111" s="45"/>
      <c r="BG111" s="45"/>
      <c r="BH111" s="45"/>
      <c r="BI111" s="45"/>
      <c r="BJ111" s="45"/>
      <c r="BK111" s="45"/>
      <c r="BL111" s="45"/>
      <c r="BM111" s="45"/>
      <c r="BN111" s="45"/>
      <c r="BO111" s="45"/>
      <c r="BP111" s="45"/>
      <c r="BQ111" s="45"/>
      <c r="BR111" s="45"/>
      <c r="BS111" s="45"/>
      <c r="BT111" s="45"/>
      <c r="BU111" s="45"/>
      <c r="BV111" s="45"/>
      <c r="BW111" s="45"/>
      <c r="BX111" s="45"/>
    </row>
    <row r="112" spans="1:76" s="67" customFormat="1" ht="207.2" customHeight="1" x14ac:dyDescent="0.2">
      <c r="A112" s="76">
        <v>103</v>
      </c>
      <c r="B112" s="74" t="s">
        <v>62</v>
      </c>
      <c r="C112" s="74" t="s">
        <v>307</v>
      </c>
      <c r="D112" s="100" t="s">
        <v>284</v>
      </c>
      <c r="E112" s="100" t="s">
        <v>800</v>
      </c>
      <c r="F112" s="75" t="s">
        <v>801</v>
      </c>
      <c r="G112" s="74" t="s">
        <v>141</v>
      </c>
      <c r="H112" s="75" t="s">
        <v>284</v>
      </c>
      <c r="I112" s="75" t="s">
        <v>284</v>
      </c>
      <c r="J112" s="107" t="s">
        <v>336</v>
      </c>
      <c r="K112" s="100" t="s">
        <v>320</v>
      </c>
      <c r="L112" s="75" t="s">
        <v>321</v>
      </c>
      <c r="M112" s="75" t="s">
        <v>796</v>
      </c>
      <c r="N112" s="75" t="s">
        <v>796</v>
      </c>
      <c r="O112" s="75" t="s">
        <v>151</v>
      </c>
      <c r="P112" s="100" t="s">
        <v>802</v>
      </c>
      <c r="Q112" s="76" t="s">
        <v>325</v>
      </c>
      <c r="R112" s="76" t="s">
        <v>325</v>
      </c>
      <c r="S112" s="100" t="s">
        <v>195</v>
      </c>
      <c r="T112" s="100" t="s">
        <v>195</v>
      </c>
      <c r="U112" s="77" t="s">
        <v>328</v>
      </c>
      <c r="V112" s="77" t="s">
        <v>328</v>
      </c>
      <c r="W112" s="77" t="s">
        <v>329</v>
      </c>
      <c r="X112" s="77" t="s">
        <v>329</v>
      </c>
      <c r="Y112" s="77" t="s">
        <v>329</v>
      </c>
      <c r="Z112" s="77" t="s">
        <v>329</v>
      </c>
      <c r="AA112" s="77" t="s">
        <v>195</v>
      </c>
      <c r="AB112" s="77" t="s">
        <v>195</v>
      </c>
      <c r="AC112" s="79" t="s">
        <v>195</v>
      </c>
      <c r="AD112" s="78" t="s">
        <v>208</v>
      </c>
      <c r="AE112" s="78" t="s">
        <v>132</v>
      </c>
      <c r="AF112" s="136" t="str">
        <f t="shared" ref="AF112:AF129" si="97">AR112</f>
        <v>ALTO</v>
      </c>
      <c r="AG112" s="78" t="s">
        <v>104</v>
      </c>
      <c r="AH112" s="136" t="str">
        <f t="shared" ref="AH112:AH129" si="98">_xlfn.IFNA((AS112),"")</f>
        <v>ALTO</v>
      </c>
      <c r="AI112" s="78" t="s">
        <v>114</v>
      </c>
      <c r="AJ112" s="78" t="s">
        <v>119</v>
      </c>
      <c r="AK112" s="136" t="str">
        <f t="shared" ref="AK112:AK129" si="99">_xlfn.IFNA((AT112),"")</f>
        <v>ALTO</v>
      </c>
      <c r="AL112" s="80" t="str">
        <f>VLOOKUP($AD112,[20]Tipologías!$B$3:$G$17,2,FALSE)</f>
        <v>ALTO</v>
      </c>
      <c r="AM112" s="80">
        <f t="shared" si="52"/>
        <v>3</v>
      </c>
      <c r="AN112" s="80" t="str">
        <f>VLOOKUP($AE112,[20]Tipologías!$A$21:$C$24,3,FALSE)</f>
        <v>MEDIO</v>
      </c>
      <c r="AO112" s="80">
        <f t="shared" si="53"/>
        <v>2</v>
      </c>
      <c r="AP112" s="80">
        <f>VLOOKUP($AI112,[20]Tipologías!$A$38:$B$42,2,FALSE)</f>
        <v>1.5</v>
      </c>
      <c r="AQ112" s="80">
        <f>VLOOKUP($AJ112,[20]Tipologías!$A$46:$B$53,2,FALSE)</f>
        <v>2</v>
      </c>
      <c r="AR112" s="80" t="str">
        <f>IF(MAX(AM112,AO112)=3,"ALTO",IF(MAX(AM112,AO112)=2,"MEDIO",IF(MAX(AM112,AO112)=1,"BAJO","  ")))</f>
        <v>ALTO</v>
      </c>
      <c r="AS112" s="80" t="str">
        <f>VLOOKUP($AG112,[20]Tipologías!$A$29:$C$33,3,FALSE)</f>
        <v>ALTO</v>
      </c>
      <c r="AT112" s="80" t="str">
        <f>IF(SUM($AP112,$AQ112)&gt;=3,"ALTO",IF(SUM($AP112,$AQ112)&lt;2,"BAJO","MEDIO"))</f>
        <v>ALTO</v>
      </c>
      <c r="AU112" s="80" t="str">
        <f>_xlfn.IFNA(IF(AND(AR112="BAJO",AS112="BAJO",AT112="BAJO"),"BAJO",IF(AND(AR112="ALTO",AS112="ALTO",AT112="ALTO"),"ALTO",IF(COUNTIF(AR112:AT112,"ALTO")=2,"ALTO","MEDIO")))," ")</f>
        <v>ALTO</v>
      </c>
      <c r="AV112" s="80" t="str">
        <f>_xlfn.IFNA(VLOOKUP(AD112,[20]Tipologías!$B$3:$G$17,4,0),"")</f>
        <v>INFORMACIÓN PÚBLICA CLASIFICADA</v>
      </c>
      <c r="AW112" s="80" t="str">
        <f>IF(AV112="INFORMACIÓN PÚBLICA","IPB",IF(AV112="INFORMACIÓN PÚBLICA CLASIFICADA","IPC",IF(AV112="INFORMACIÓN PÚBLICA RESERVADA","IPR",IF(AV112="",""))))</f>
        <v>IPC</v>
      </c>
      <c r="AX112" s="80" t="str">
        <f>_xlfn.IFNA(VLOOKUP(AD112,[20]Tipologías!$B$3:$G$17,3,0),"")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2" s="80" t="str">
        <f>_xlfn.IFNA(VLOOKUP(AD112,[20]Tipologías!$B$3:$G$17,5,0),"")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2" s="80" t="str">
        <f>_xlfn.IFNA(VLOOKUP(AD112,[20]Tipologías!$B$3:$G$17,6,0),"")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2" s="76" t="s">
        <v>196</v>
      </c>
      <c r="BB112" s="215">
        <v>45229</v>
      </c>
      <c r="BC112" s="76" t="s">
        <v>201</v>
      </c>
      <c r="BD112" s="78" t="s">
        <v>798</v>
      </c>
      <c r="BE112" s="78" t="s">
        <v>799</v>
      </c>
      <c r="BF112" s="45"/>
      <c r="BG112" s="45"/>
      <c r="BH112" s="45"/>
      <c r="BI112" s="45"/>
      <c r="BJ112" s="45"/>
      <c r="BK112" s="45"/>
      <c r="BL112" s="45"/>
      <c r="BM112" s="45"/>
      <c r="BN112" s="45"/>
      <c r="BO112" s="45"/>
      <c r="BP112" s="45"/>
      <c r="BQ112" s="45"/>
      <c r="BR112" s="45"/>
      <c r="BS112" s="45"/>
      <c r="BT112" s="45"/>
      <c r="BU112" s="45"/>
      <c r="BV112" s="45"/>
      <c r="BW112" s="45"/>
      <c r="BX112" s="45"/>
    </row>
    <row r="113" spans="1:76" s="67" customFormat="1" ht="207.2" customHeight="1" x14ac:dyDescent="0.2">
      <c r="A113" s="76">
        <v>104</v>
      </c>
      <c r="B113" s="74" t="s">
        <v>62</v>
      </c>
      <c r="C113" s="74" t="s">
        <v>307</v>
      </c>
      <c r="D113" s="100" t="s">
        <v>284</v>
      </c>
      <c r="E113" s="100" t="s">
        <v>803</v>
      </c>
      <c r="F113" s="75" t="s">
        <v>804</v>
      </c>
      <c r="G113" s="74" t="s">
        <v>139</v>
      </c>
      <c r="H113" s="75" t="s">
        <v>284</v>
      </c>
      <c r="I113" s="75" t="s">
        <v>284</v>
      </c>
      <c r="J113" s="107" t="s">
        <v>319</v>
      </c>
      <c r="K113" s="100" t="s">
        <v>320</v>
      </c>
      <c r="L113" s="75" t="s">
        <v>321</v>
      </c>
      <c r="M113" s="75" t="s">
        <v>805</v>
      </c>
      <c r="N113" s="75" t="s">
        <v>796</v>
      </c>
      <c r="O113" s="75" t="s">
        <v>151</v>
      </c>
      <c r="P113" s="100" t="s">
        <v>806</v>
      </c>
      <c r="Q113" s="76" t="s">
        <v>325</v>
      </c>
      <c r="R113" s="76"/>
      <c r="S113" s="100" t="s">
        <v>195</v>
      </c>
      <c r="T113" s="100" t="s">
        <v>195</v>
      </c>
      <c r="U113" s="77" t="s">
        <v>329</v>
      </c>
      <c r="V113" s="77" t="s">
        <v>195</v>
      </c>
      <c r="W113" s="77" t="s">
        <v>195</v>
      </c>
      <c r="X113" s="77" t="s">
        <v>195</v>
      </c>
      <c r="Y113" s="77" t="s">
        <v>195</v>
      </c>
      <c r="Z113" s="77" t="s">
        <v>195</v>
      </c>
      <c r="AA113" s="77" t="s">
        <v>195</v>
      </c>
      <c r="AB113" s="77" t="s">
        <v>195</v>
      </c>
      <c r="AC113" s="79" t="s">
        <v>195</v>
      </c>
      <c r="AD113" s="78" t="s">
        <v>208</v>
      </c>
      <c r="AE113" s="78" t="s">
        <v>134</v>
      </c>
      <c r="AF113" s="136" t="str">
        <f t="shared" si="97"/>
        <v>ALTO</v>
      </c>
      <c r="AG113" s="78" t="s">
        <v>104</v>
      </c>
      <c r="AH113" s="136" t="str">
        <f t="shared" si="98"/>
        <v>ALTO</v>
      </c>
      <c r="AI113" s="78" t="s">
        <v>114</v>
      </c>
      <c r="AJ113" s="78" t="s">
        <v>119</v>
      </c>
      <c r="AK113" s="136" t="str">
        <f t="shared" si="99"/>
        <v>ALTO</v>
      </c>
      <c r="AL113" s="80" t="str">
        <f>VLOOKUP($AD113,[20]Tipologías!$B$3:$G$17,2,FALSE)</f>
        <v>ALTO</v>
      </c>
      <c r="AM113" s="80">
        <f t="shared" si="52"/>
        <v>3</v>
      </c>
      <c r="AN113" s="80" t="str">
        <f>VLOOKUP($AE113,[20]Tipologías!$A$21:$C$24,3,FALSE)</f>
        <v>ALTO</v>
      </c>
      <c r="AO113" s="80">
        <f t="shared" si="53"/>
        <v>3</v>
      </c>
      <c r="AP113" s="80">
        <f>VLOOKUP($AI113,[20]Tipologías!$A$38:$B$42,2,FALSE)</f>
        <v>1.5</v>
      </c>
      <c r="AQ113" s="80">
        <f>VLOOKUP($AJ113,[20]Tipologías!$A$46:$B$53,2,FALSE)</f>
        <v>2</v>
      </c>
      <c r="AR113" s="80" t="str">
        <f t="shared" ref="AR113:AR129" si="100">IF(MAX(AM113,AO113)=3,"ALTO",IF(MAX(AM113,AO113)=2,"MEDIO",IF(MAX(AM113,AO113)=1,"BAJO","  ")))</f>
        <v>ALTO</v>
      </c>
      <c r="AS113" s="80" t="str">
        <f>VLOOKUP($AG113,[20]Tipologías!$A$29:$C$33,3,FALSE)</f>
        <v>ALTO</v>
      </c>
      <c r="AT113" s="80" t="str">
        <f t="shared" ref="AT113:AT129" si="101">IF(SUM($AP113,$AQ113)&gt;=3,"ALTO",IF(SUM($AP113,$AQ113)&lt;2,"BAJO","MEDIO"))</f>
        <v>ALTO</v>
      </c>
      <c r="AU113" s="80" t="str">
        <f t="shared" ref="AU113:AU129" si="102">_xlfn.IFNA(IF(AND(AR113="BAJO",AS113="BAJO",AT113="BAJO"),"BAJO",IF(AND(AR113="ALTO",AS113="ALTO",AT113="ALTO"),"ALTO",IF(COUNTIF(AR113:AT113,"ALTO")=2,"ALTO","MEDIO")))," ")</f>
        <v>ALTO</v>
      </c>
      <c r="AV113" s="80" t="str">
        <f>_xlfn.IFNA(VLOOKUP(AD113,[20]Tipologías!$B$3:$G$17,4,0),"")</f>
        <v>INFORMACIÓN PÚBLICA CLASIFICADA</v>
      </c>
      <c r="AW113" s="80" t="str">
        <f t="shared" ref="AW113:AW129" si="103">IF(AV113="INFORMACIÓN PÚBLICA","IPB",IF(AV113="INFORMACIÓN PÚBLICA CLASIFICADA","IPC",IF(AV113="INFORMACIÓN PÚBLICA RESERVADA","IPR",IF(AV113="",""))))</f>
        <v>IPC</v>
      </c>
      <c r="AX113" s="80" t="str">
        <f>_xlfn.IFNA(VLOOKUP(AD113,[20]Tipologías!$B$3:$G$17,3,0),"")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3" s="80" t="str">
        <f>_xlfn.IFNA(VLOOKUP(AD113,[20]Tipologías!$B$3:$G$17,5,0),"")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3" s="80" t="str">
        <f>_xlfn.IFNA(VLOOKUP(AD113,[20]Tipologías!$B$3:$G$17,6,0),"")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3" s="76" t="s">
        <v>196</v>
      </c>
      <c r="BB113" s="215">
        <v>45229</v>
      </c>
      <c r="BC113" s="76" t="s">
        <v>201</v>
      </c>
      <c r="BD113" s="78" t="s">
        <v>798</v>
      </c>
      <c r="BE113" s="78" t="s">
        <v>799</v>
      </c>
      <c r="BF113" s="45"/>
      <c r="BG113" s="45"/>
      <c r="BH113" s="45"/>
      <c r="BI113" s="45"/>
      <c r="BJ113" s="45"/>
      <c r="BK113" s="45"/>
      <c r="BL113" s="45"/>
      <c r="BM113" s="45"/>
      <c r="BN113" s="45"/>
      <c r="BO113" s="45"/>
      <c r="BP113" s="45"/>
      <c r="BQ113" s="45"/>
      <c r="BR113" s="45"/>
      <c r="BS113" s="45"/>
      <c r="BT113" s="45"/>
      <c r="BU113" s="45"/>
      <c r="BV113" s="45"/>
      <c r="BW113" s="45"/>
      <c r="BX113" s="45"/>
    </row>
    <row r="114" spans="1:76" s="67" customFormat="1" ht="207.2" customHeight="1" x14ac:dyDescent="0.2">
      <c r="A114" s="76">
        <v>105</v>
      </c>
      <c r="B114" s="74" t="s">
        <v>62</v>
      </c>
      <c r="C114" s="74" t="s">
        <v>307</v>
      </c>
      <c r="D114" s="100" t="s">
        <v>284</v>
      </c>
      <c r="E114" s="100" t="s">
        <v>807</v>
      </c>
      <c r="F114" s="75" t="s">
        <v>808</v>
      </c>
      <c r="G114" s="74" t="s">
        <v>141</v>
      </c>
      <c r="H114" s="75" t="s">
        <v>284</v>
      </c>
      <c r="I114" s="75" t="s">
        <v>284</v>
      </c>
      <c r="J114" s="107" t="s">
        <v>336</v>
      </c>
      <c r="K114" s="100" t="s">
        <v>320</v>
      </c>
      <c r="L114" s="75" t="s">
        <v>321</v>
      </c>
      <c r="M114" s="75" t="s">
        <v>195</v>
      </c>
      <c r="N114" s="75" t="s">
        <v>796</v>
      </c>
      <c r="O114" s="75" t="s">
        <v>151</v>
      </c>
      <c r="P114" s="100" t="s">
        <v>806</v>
      </c>
      <c r="Q114" s="76" t="s">
        <v>325</v>
      </c>
      <c r="R114" s="76" t="s">
        <v>325</v>
      </c>
      <c r="S114" s="100" t="s">
        <v>195</v>
      </c>
      <c r="T114" s="100" t="s">
        <v>195</v>
      </c>
      <c r="U114" s="77" t="s">
        <v>329</v>
      </c>
      <c r="V114" s="77" t="s">
        <v>195</v>
      </c>
      <c r="W114" s="77" t="s">
        <v>195</v>
      </c>
      <c r="X114" s="77" t="s">
        <v>195</v>
      </c>
      <c r="Y114" s="77" t="s">
        <v>195</v>
      </c>
      <c r="Z114" s="77" t="s">
        <v>195</v>
      </c>
      <c r="AA114" s="77" t="s">
        <v>195</v>
      </c>
      <c r="AB114" s="77" t="s">
        <v>195</v>
      </c>
      <c r="AC114" s="79" t="s">
        <v>195</v>
      </c>
      <c r="AD114" s="78" t="s">
        <v>208</v>
      </c>
      <c r="AE114" s="78" t="s">
        <v>134</v>
      </c>
      <c r="AF114" s="136" t="str">
        <f t="shared" si="97"/>
        <v>ALTO</v>
      </c>
      <c r="AG114" s="78" t="s">
        <v>104</v>
      </c>
      <c r="AH114" s="136" t="str">
        <f t="shared" si="98"/>
        <v>ALTO</v>
      </c>
      <c r="AI114" s="78" t="s">
        <v>114</v>
      </c>
      <c r="AJ114" s="78" t="s">
        <v>119</v>
      </c>
      <c r="AK114" s="136" t="str">
        <f t="shared" si="99"/>
        <v>ALTO</v>
      </c>
      <c r="AL114" s="80" t="str">
        <f>VLOOKUP($AD114,[20]Tipologías!$B$3:$G$17,2,FALSE)</f>
        <v>ALTO</v>
      </c>
      <c r="AM114" s="80">
        <f t="shared" si="52"/>
        <v>3</v>
      </c>
      <c r="AN114" s="80" t="str">
        <f>VLOOKUP($AE114,[20]Tipologías!$A$21:$C$24,3,FALSE)</f>
        <v>ALTO</v>
      </c>
      <c r="AO114" s="80">
        <f t="shared" si="53"/>
        <v>3</v>
      </c>
      <c r="AP114" s="80">
        <f>VLOOKUP($AI114,[20]Tipologías!$A$38:$B$42,2,FALSE)</f>
        <v>1.5</v>
      </c>
      <c r="AQ114" s="80">
        <f>VLOOKUP($AJ114,[20]Tipologías!$A$46:$B$53,2,FALSE)</f>
        <v>2</v>
      </c>
      <c r="AR114" s="80" t="str">
        <f t="shared" si="100"/>
        <v>ALTO</v>
      </c>
      <c r="AS114" s="80" t="str">
        <f>VLOOKUP($AG114,[20]Tipologías!$A$29:$C$33,3,FALSE)</f>
        <v>ALTO</v>
      </c>
      <c r="AT114" s="80" t="str">
        <f t="shared" si="101"/>
        <v>ALTO</v>
      </c>
      <c r="AU114" s="80" t="str">
        <f t="shared" si="102"/>
        <v>ALTO</v>
      </c>
      <c r="AV114" s="80" t="str">
        <f>_xlfn.IFNA(VLOOKUP(AD114,[20]Tipologías!$B$3:$G$17,4,0),"")</f>
        <v>INFORMACIÓN PÚBLICA CLASIFICADA</v>
      </c>
      <c r="AW114" s="80" t="str">
        <f t="shared" si="103"/>
        <v>IPC</v>
      </c>
      <c r="AX114" s="80" t="str">
        <f>_xlfn.IFNA(VLOOKUP(AD114,[20]Tipologías!$B$3:$G$17,3,0),"")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4" s="80" t="str">
        <f>_xlfn.IFNA(VLOOKUP(AD114,[20]Tipologías!$B$3:$G$17,5,0),"")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4" s="80" t="str">
        <f>_xlfn.IFNA(VLOOKUP(AD114,[20]Tipologías!$B$3:$G$17,6,0),"")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4" s="76" t="s">
        <v>196</v>
      </c>
      <c r="BB114" s="215">
        <v>45229</v>
      </c>
      <c r="BC114" s="76" t="s">
        <v>201</v>
      </c>
      <c r="BD114" s="78" t="s">
        <v>798</v>
      </c>
      <c r="BE114" s="78" t="s">
        <v>799</v>
      </c>
      <c r="BF114" s="45"/>
      <c r="BG114" s="45"/>
      <c r="BH114" s="45"/>
      <c r="BI114" s="45"/>
      <c r="BJ114" s="45"/>
      <c r="BK114" s="45"/>
      <c r="BL114" s="45"/>
      <c r="BM114" s="45"/>
      <c r="BN114" s="45"/>
      <c r="BO114" s="45"/>
      <c r="BP114" s="45"/>
      <c r="BQ114" s="45"/>
      <c r="BR114" s="45"/>
      <c r="BS114" s="45"/>
      <c r="BT114" s="45"/>
      <c r="BU114" s="45"/>
      <c r="BV114" s="45"/>
      <c r="BW114" s="45"/>
      <c r="BX114" s="45"/>
    </row>
    <row r="115" spans="1:76" s="67" customFormat="1" ht="207.2" customHeight="1" x14ac:dyDescent="0.2">
      <c r="A115" s="76">
        <v>106</v>
      </c>
      <c r="B115" s="74" t="s">
        <v>62</v>
      </c>
      <c r="C115" s="74" t="s">
        <v>307</v>
      </c>
      <c r="D115" s="100" t="s">
        <v>284</v>
      </c>
      <c r="E115" s="100" t="s">
        <v>809</v>
      </c>
      <c r="F115" s="75" t="s">
        <v>810</v>
      </c>
      <c r="G115" s="74" t="s">
        <v>205</v>
      </c>
      <c r="H115" s="75" t="s">
        <v>284</v>
      </c>
      <c r="I115" s="75" t="s">
        <v>284</v>
      </c>
      <c r="J115" s="107" t="s">
        <v>319</v>
      </c>
      <c r="K115" s="100" t="s">
        <v>320</v>
      </c>
      <c r="L115" s="75" t="s">
        <v>321</v>
      </c>
      <c r="M115" s="75" t="s">
        <v>811</v>
      </c>
      <c r="N115" s="75" t="s">
        <v>812</v>
      </c>
      <c r="O115" s="75" t="s">
        <v>151</v>
      </c>
      <c r="P115" s="157" t="s">
        <v>813</v>
      </c>
      <c r="Q115" s="76" t="s">
        <v>325</v>
      </c>
      <c r="R115" s="76"/>
      <c r="S115" s="146" t="s">
        <v>814</v>
      </c>
      <c r="T115" s="100" t="s">
        <v>195</v>
      </c>
      <c r="U115" s="77" t="s">
        <v>328</v>
      </c>
      <c r="V115" s="77" t="s">
        <v>328</v>
      </c>
      <c r="W115" s="77" t="s">
        <v>329</v>
      </c>
      <c r="X115" s="77" t="s">
        <v>329</v>
      </c>
      <c r="Y115" s="77" t="s">
        <v>329</v>
      </c>
      <c r="Z115" s="77" t="s">
        <v>329</v>
      </c>
      <c r="AA115" s="77" t="s">
        <v>195</v>
      </c>
      <c r="AB115" s="77" t="s">
        <v>195</v>
      </c>
      <c r="AC115" s="79" t="s">
        <v>195</v>
      </c>
      <c r="AD115" s="78" t="s">
        <v>89</v>
      </c>
      <c r="AE115" s="78" t="s">
        <v>132</v>
      </c>
      <c r="AF115" s="136" t="str">
        <f t="shared" si="97"/>
        <v>MEDIO</v>
      </c>
      <c r="AG115" s="78" t="s">
        <v>101</v>
      </c>
      <c r="AH115" s="136" t="str">
        <f t="shared" si="98"/>
        <v>BAJO</v>
      </c>
      <c r="AI115" s="78" t="s">
        <v>113</v>
      </c>
      <c r="AJ115" s="78" t="s">
        <v>123</v>
      </c>
      <c r="AK115" s="136" t="str">
        <f t="shared" si="99"/>
        <v>BAJO</v>
      </c>
      <c r="AL115" s="80" t="str">
        <f>VLOOKUP($AD115,[20]Tipologías!$B$3:$G$17,2,FALSE)</f>
        <v>BAJO</v>
      </c>
      <c r="AM115" s="80">
        <f t="shared" si="52"/>
        <v>1</v>
      </c>
      <c r="AN115" s="80" t="str">
        <f>VLOOKUP($AE115,[20]Tipologías!$A$21:$C$24,3,FALSE)</f>
        <v>MEDIO</v>
      </c>
      <c r="AO115" s="80">
        <f t="shared" si="53"/>
        <v>2</v>
      </c>
      <c r="AP115" s="80">
        <f>VLOOKUP($AI115,[20]Tipologías!$A$38:$B$42,2,FALSE)</f>
        <v>1</v>
      </c>
      <c r="AQ115" s="80">
        <f>VLOOKUP($AJ115,[20]Tipologías!$A$46:$B$53,2,FALSE)</f>
        <v>0.5</v>
      </c>
      <c r="AR115" s="80" t="str">
        <f t="shared" si="100"/>
        <v>MEDIO</v>
      </c>
      <c r="AS115" s="80" t="str">
        <f>VLOOKUP($AG115,[20]Tipologías!$A$29:$C$33,3,FALSE)</f>
        <v>BAJO</v>
      </c>
      <c r="AT115" s="80" t="str">
        <f t="shared" si="101"/>
        <v>BAJO</v>
      </c>
      <c r="AU115" s="80" t="str">
        <f t="shared" si="102"/>
        <v>MEDIO</v>
      </c>
      <c r="AV115" s="80" t="str">
        <f>_xlfn.IFNA(VLOOKUP(AD115,[20]Tipologías!$B$3:$G$17,4,0),"")</f>
        <v>INFORMACIÓN PÚBLICA</v>
      </c>
      <c r="AW115" s="80" t="str">
        <f t="shared" si="103"/>
        <v>IPB</v>
      </c>
      <c r="AX115" s="80" t="str">
        <f>_xlfn.IFNA(VLOOKUP(AD115,[20]Tipologías!$B$3:$G$17,3,0),"")</f>
        <v>LEY 1712 DE 2014 LEY DE TRANSPARENCIA Y DERECHO DE ACCESO A LA INFORMACIÓN. ARTÍCULO 6 DEFINICIONES LITERAL B.</v>
      </c>
      <c r="AY115" s="80" t="str">
        <f>_xlfn.IFNA(VLOOKUP(AD115,[20]Tipologías!$B$3:$G$17,5,0),"")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5" s="80" t="str">
        <f>_xlfn.IFNA(VLOOKUP(AD115,[20]Tipologías!$B$3:$G$17,6,0),"")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5" s="76" t="s">
        <v>197</v>
      </c>
      <c r="BB115" s="215">
        <v>45229</v>
      </c>
      <c r="BC115" s="76" t="s">
        <v>201</v>
      </c>
      <c r="BD115" s="78" t="s">
        <v>798</v>
      </c>
      <c r="BE115" s="78" t="s">
        <v>799</v>
      </c>
      <c r="BF115" s="45"/>
      <c r="BG115" s="45"/>
      <c r="BH115" s="45"/>
      <c r="BI115" s="45"/>
      <c r="BJ115" s="45"/>
      <c r="BK115" s="45"/>
      <c r="BL115" s="45"/>
      <c r="BM115" s="45"/>
      <c r="BN115" s="45"/>
      <c r="BO115" s="45"/>
      <c r="BP115" s="45"/>
      <c r="BQ115" s="45"/>
      <c r="BR115" s="45"/>
      <c r="BS115" s="45"/>
      <c r="BT115" s="45"/>
      <c r="BU115" s="45"/>
      <c r="BV115" s="45"/>
      <c r="BW115" s="45"/>
      <c r="BX115" s="45"/>
    </row>
    <row r="116" spans="1:76" s="67" customFormat="1" ht="207.2" customHeight="1" x14ac:dyDescent="0.2">
      <c r="A116" s="76">
        <v>107</v>
      </c>
      <c r="B116" s="74" t="s">
        <v>62</v>
      </c>
      <c r="C116" s="74" t="s">
        <v>307</v>
      </c>
      <c r="D116" s="100" t="s">
        <v>284</v>
      </c>
      <c r="E116" s="115" t="s">
        <v>815</v>
      </c>
      <c r="F116" s="110" t="s">
        <v>816</v>
      </c>
      <c r="G116" s="74" t="s">
        <v>173</v>
      </c>
      <c r="H116" s="75" t="s">
        <v>284</v>
      </c>
      <c r="I116" s="75" t="s">
        <v>284</v>
      </c>
      <c r="J116" s="107"/>
      <c r="K116" s="100" t="s">
        <v>320</v>
      </c>
      <c r="L116" s="75" t="s">
        <v>321</v>
      </c>
      <c r="M116" s="75" t="s">
        <v>195</v>
      </c>
      <c r="N116" s="75" t="s">
        <v>195</v>
      </c>
      <c r="O116" s="75"/>
      <c r="P116" s="100" t="s">
        <v>195</v>
      </c>
      <c r="Q116" s="76" t="s">
        <v>325</v>
      </c>
      <c r="R116" s="76" t="s">
        <v>325</v>
      </c>
      <c r="S116" s="100" t="s">
        <v>195</v>
      </c>
      <c r="T116" s="100" t="s">
        <v>195</v>
      </c>
      <c r="U116" s="77" t="s">
        <v>195</v>
      </c>
      <c r="V116" s="77" t="s">
        <v>195</v>
      </c>
      <c r="W116" s="77" t="s">
        <v>195</v>
      </c>
      <c r="X116" s="77" t="s">
        <v>195</v>
      </c>
      <c r="Y116" s="77" t="s">
        <v>195</v>
      </c>
      <c r="Z116" s="77" t="s">
        <v>195</v>
      </c>
      <c r="AA116" s="77" t="s">
        <v>195</v>
      </c>
      <c r="AB116" s="77" t="s">
        <v>195</v>
      </c>
      <c r="AC116" s="79" t="s">
        <v>195</v>
      </c>
      <c r="AD116" s="78" t="s">
        <v>208</v>
      </c>
      <c r="AE116" s="78" t="s">
        <v>132</v>
      </c>
      <c r="AF116" s="136" t="str">
        <f t="shared" si="97"/>
        <v>ALTO</v>
      </c>
      <c r="AG116" s="78" t="s">
        <v>102</v>
      </c>
      <c r="AH116" s="136" t="str">
        <f t="shared" si="98"/>
        <v>MEDIO</v>
      </c>
      <c r="AI116" s="78" t="s">
        <v>114</v>
      </c>
      <c r="AJ116" s="78" t="s">
        <v>120</v>
      </c>
      <c r="AK116" s="136" t="str">
        <f t="shared" si="99"/>
        <v>ALTO</v>
      </c>
      <c r="AL116" s="80" t="str">
        <f>VLOOKUP($AD116,[20]Tipologías!$B$3:$G$17,2,FALSE)</f>
        <v>ALTO</v>
      </c>
      <c r="AM116" s="80">
        <f t="shared" si="52"/>
        <v>3</v>
      </c>
      <c r="AN116" s="80" t="str">
        <f>VLOOKUP($AE116,[20]Tipologías!$A$21:$C$24,3,FALSE)</f>
        <v>MEDIO</v>
      </c>
      <c r="AO116" s="80">
        <f t="shared" si="53"/>
        <v>2</v>
      </c>
      <c r="AP116" s="80">
        <f>VLOOKUP($AI116,[20]Tipologías!$A$38:$B$42,2,FALSE)</f>
        <v>1.5</v>
      </c>
      <c r="AQ116" s="80">
        <f>VLOOKUP($AJ116,[20]Tipologías!$A$46:$B$53,2,FALSE)</f>
        <v>1.5</v>
      </c>
      <c r="AR116" s="80" t="str">
        <f t="shared" si="100"/>
        <v>ALTO</v>
      </c>
      <c r="AS116" s="80" t="str">
        <f>VLOOKUP($AG116,[20]Tipologías!$A$29:$C$33,3,FALSE)</f>
        <v>MEDIO</v>
      </c>
      <c r="AT116" s="80" t="str">
        <f t="shared" si="101"/>
        <v>ALTO</v>
      </c>
      <c r="AU116" s="80" t="str">
        <f t="shared" si="102"/>
        <v>ALTO</v>
      </c>
      <c r="AV116" s="80" t="str">
        <f>_xlfn.IFNA(VLOOKUP(AD116,[20]Tipologías!$B$3:$G$17,4,0),"")</f>
        <v>INFORMACIÓN PÚBLICA CLASIFICADA</v>
      </c>
      <c r="AW116" s="80" t="str">
        <f t="shared" si="103"/>
        <v>IPC</v>
      </c>
      <c r="AX116" s="80" t="str">
        <f>_xlfn.IFNA(VLOOKUP(AD116,[20]Tipologías!$B$3:$G$17,3,0),"")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6" s="80" t="str">
        <f>_xlfn.IFNA(VLOOKUP(AD116,[20]Tipologías!$B$3:$G$17,5,0),"")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6" s="80" t="str">
        <f>_xlfn.IFNA(VLOOKUP(AD116,[20]Tipologías!$B$3:$G$17,6,0),"")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6" s="76" t="s">
        <v>197</v>
      </c>
      <c r="BB116" s="215">
        <v>45229</v>
      </c>
      <c r="BC116" s="76" t="s">
        <v>201</v>
      </c>
      <c r="BD116" s="78" t="s">
        <v>798</v>
      </c>
      <c r="BE116" s="78" t="s">
        <v>799</v>
      </c>
      <c r="BF116" s="45"/>
      <c r="BG116" s="45"/>
      <c r="BH116" s="45"/>
      <c r="BI116" s="45"/>
      <c r="BJ116" s="45"/>
      <c r="BK116" s="45"/>
      <c r="BL116" s="45"/>
      <c r="BM116" s="45"/>
      <c r="BN116" s="45"/>
      <c r="BO116" s="45"/>
      <c r="BP116" s="45"/>
      <c r="BQ116" s="45"/>
      <c r="BR116" s="45"/>
      <c r="BS116" s="45"/>
      <c r="BT116" s="45"/>
      <c r="BU116" s="45"/>
      <c r="BV116" s="45"/>
      <c r="BW116" s="45"/>
      <c r="BX116" s="45"/>
    </row>
    <row r="117" spans="1:76" s="67" customFormat="1" ht="207.2" customHeight="1" x14ac:dyDescent="0.2">
      <c r="A117" s="76">
        <v>108</v>
      </c>
      <c r="B117" s="74" t="s">
        <v>62</v>
      </c>
      <c r="C117" s="74" t="s">
        <v>307</v>
      </c>
      <c r="D117" s="100" t="s">
        <v>284</v>
      </c>
      <c r="E117" s="109" t="s">
        <v>817</v>
      </c>
      <c r="F117" s="110" t="s">
        <v>818</v>
      </c>
      <c r="G117" s="74" t="s">
        <v>140</v>
      </c>
      <c r="H117" s="75" t="s">
        <v>284</v>
      </c>
      <c r="I117" s="75" t="s">
        <v>284</v>
      </c>
      <c r="J117" s="107" t="s">
        <v>336</v>
      </c>
      <c r="K117" s="100" t="s">
        <v>320</v>
      </c>
      <c r="L117" s="75" t="s">
        <v>321</v>
      </c>
      <c r="M117" s="75" t="s">
        <v>805</v>
      </c>
      <c r="N117" s="75" t="s">
        <v>796</v>
      </c>
      <c r="O117" s="75" t="s">
        <v>151</v>
      </c>
      <c r="P117" s="100" t="s">
        <v>195</v>
      </c>
      <c r="Q117" s="76" t="s">
        <v>325</v>
      </c>
      <c r="R117" s="76" t="s">
        <v>325</v>
      </c>
      <c r="S117" s="100" t="s">
        <v>195</v>
      </c>
      <c r="T117" s="100" t="s">
        <v>195</v>
      </c>
      <c r="U117" s="77" t="s">
        <v>195</v>
      </c>
      <c r="V117" s="77" t="s">
        <v>195</v>
      </c>
      <c r="W117" s="77" t="s">
        <v>195</v>
      </c>
      <c r="X117" s="77" t="s">
        <v>195</v>
      </c>
      <c r="Y117" s="77" t="s">
        <v>195</v>
      </c>
      <c r="Z117" s="77" t="s">
        <v>195</v>
      </c>
      <c r="AA117" s="77" t="s">
        <v>195</v>
      </c>
      <c r="AB117" s="77" t="s">
        <v>195</v>
      </c>
      <c r="AC117" s="79" t="s">
        <v>195</v>
      </c>
      <c r="AD117" s="78" t="s">
        <v>208</v>
      </c>
      <c r="AE117" s="78" t="s">
        <v>134</v>
      </c>
      <c r="AF117" s="136" t="str">
        <f t="shared" si="97"/>
        <v>ALTO</v>
      </c>
      <c r="AG117" s="78" t="s">
        <v>102</v>
      </c>
      <c r="AH117" s="136" t="str">
        <f t="shared" si="98"/>
        <v>MEDIO</v>
      </c>
      <c r="AI117" s="78" t="s">
        <v>114</v>
      </c>
      <c r="AJ117" s="78" t="s">
        <v>120</v>
      </c>
      <c r="AK117" s="136" t="str">
        <f t="shared" si="99"/>
        <v>ALTO</v>
      </c>
      <c r="AL117" s="80" t="str">
        <f>VLOOKUP($AD117,[20]Tipologías!$B$3:$G$17,2,FALSE)</f>
        <v>ALTO</v>
      </c>
      <c r="AM117" s="80">
        <f t="shared" si="52"/>
        <v>3</v>
      </c>
      <c r="AN117" s="80" t="str">
        <f>VLOOKUP($AE117,[20]Tipologías!$A$21:$C$24,3,FALSE)</f>
        <v>ALTO</v>
      </c>
      <c r="AO117" s="80">
        <f t="shared" si="53"/>
        <v>3</v>
      </c>
      <c r="AP117" s="80">
        <f>VLOOKUP($AI117,[20]Tipologías!$A$38:$B$42,2,FALSE)</f>
        <v>1.5</v>
      </c>
      <c r="AQ117" s="80">
        <f>VLOOKUP($AJ117,[20]Tipologías!$A$46:$B$53,2,FALSE)</f>
        <v>1.5</v>
      </c>
      <c r="AR117" s="80" t="str">
        <f t="shared" si="100"/>
        <v>ALTO</v>
      </c>
      <c r="AS117" s="80" t="str">
        <f>VLOOKUP($AG117,[20]Tipologías!$A$29:$C$33,3,FALSE)</f>
        <v>MEDIO</v>
      </c>
      <c r="AT117" s="80" t="str">
        <f t="shared" si="101"/>
        <v>ALTO</v>
      </c>
      <c r="AU117" s="80" t="str">
        <f t="shared" si="102"/>
        <v>ALTO</v>
      </c>
      <c r="AV117" s="80" t="str">
        <f>_xlfn.IFNA(VLOOKUP(AD117,[20]Tipologías!$B$3:$G$17,4,0),"")</f>
        <v>INFORMACIÓN PÚBLICA CLASIFICADA</v>
      </c>
      <c r="AW117" s="80" t="str">
        <f t="shared" si="103"/>
        <v>IPC</v>
      </c>
      <c r="AX117" s="80" t="str">
        <f>_xlfn.IFNA(VLOOKUP(AD117,[20]Tipologías!$B$3:$G$17,3,0),"")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7" s="80" t="str">
        <f>_xlfn.IFNA(VLOOKUP(AD117,[20]Tipologías!$B$3:$G$17,5,0),"")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7" s="80" t="str">
        <f>_xlfn.IFNA(VLOOKUP(AD117,[20]Tipologías!$B$3:$G$17,6,0),"")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7" s="76" t="s">
        <v>196</v>
      </c>
      <c r="BB117" s="215">
        <v>45229</v>
      </c>
      <c r="BC117" s="76" t="s">
        <v>201</v>
      </c>
      <c r="BD117" s="78" t="s">
        <v>798</v>
      </c>
      <c r="BE117" s="78" t="s">
        <v>799</v>
      </c>
      <c r="BF117" s="45"/>
      <c r="BG117" s="45"/>
      <c r="BH117" s="45"/>
      <c r="BI117" s="45"/>
      <c r="BJ117" s="45"/>
      <c r="BK117" s="45"/>
      <c r="BL117" s="45"/>
      <c r="BM117" s="45"/>
      <c r="BN117" s="45"/>
      <c r="BO117" s="45"/>
      <c r="BP117" s="45"/>
      <c r="BQ117" s="45"/>
      <c r="BR117" s="45"/>
      <c r="BS117" s="45"/>
      <c r="BT117" s="45"/>
      <c r="BU117" s="45"/>
      <c r="BV117" s="45"/>
      <c r="BW117" s="45"/>
      <c r="BX117" s="45"/>
    </row>
    <row r="118" spans="1:76" s="67" customFormat="1" ht="207.2" customHeight="1" x14ac:dyDescent="0.2">
      <c r="A118" s="76">
        <v>109</v>
      </c>
      <c r="B118" s="74" t="s">
        <v>62</v>
      </c>
      <c r="C118" s="74" t="s">
        <v>307</v>
      </c>
      <c r="D118" s="100" t="s">
        <v>284</v>
      </c>
      <c r="E118" s="109" t="s">
        <v>819</v>
      </c>
      <c r="F118" s="110" t="s">
        <v>820</v>
      </c>
      <c r="G118" s="74" t="s">
        <v>174</v>
      </c>
      <c r="H118" s="75" t="s">
        <v>284</v>
      </c>
      <c r="I118" s="75" t="s">
        <v>284</v>
      </c>
      <c r="J118" s="107" t="s">
        <v>336</v>
      </c>
      <c r="K118" s="100" t="s">
        <v>320</v>
      </c>
      <c r="L118" s="75" t="s">
        <v>321</v>
      </c>
      <c r="M118" s="75" t="s">
        <v>805</v>
      </c>
      <c r="N118" s="75" t="s">
        <v>796</v>
      </c>
      <c r="O118" s="75" t="s">
        <v>151</v>
      </c>
      <c r="P118" s="100" t="s">
        <v>195</v>
      </c>
      <c r="Q118" s="76" t="s">
        <v>325</v>
      </c>
      <c r="R118" s="100" t="s">
        <v>195</v>
      </c>
      <c r="S118" s="100" t="s">
        <v>195</v>
      </c>
      <c r="T118" s="100" t="s">
        <v>195</v>
      </c>
      <c r="U118" s="77" t="s">
        <v>328</v>
      </c>
      <c r="V118" s="77" t="s">
        <v>328</v>
      </c>
      <c r="W118" s="77" t="s">
        <v>329</v>
      </c>
      <c r="X118" s="77" t="s">
        <v>329</v>
      </c>
      <c r="Y118" s="77" t="s">
        <v>329</v>
      </c>
      <c r="Z118" s="77" t="s">
        <v>329</v>
      </c>
      <c r="AA118" s="77" t="s">
        <v>195</v>
      </c>
      <c r="AB118" s="77" t="s">
        <v>195</v>
      </c>
      <c r="AC118" s="79" t="s">
        <v>195</v>
      </c>
      <c r="AD118" s="78" t="s">
        <v>206</v>
      </c>
      <c r="AE118" s="78" t="s">
        <v>132</v>
      </c>
      <c r="AF118" s="136" t="str">
        <f t="shared" si="97"/>
        <v>ALTO</v>
      </c>
      <c r="AG118" s="78" t="s">
        <v>102</v>
      </c>
      <c r="AH118" s="136" t="str">
        <f t="shared" si="98"/>
        <v>MEDIO</v>
      </c>
      <c r="AI118" s="78" t="s">
        <v>114</v>
      </c>
      <c r="AJ118" s="78" t="s">
        <v>119</v>
      </c>
      <c r="AK118" s="136" t="str">
        <f t="shared" si="99"/>
        <v>ALTO</v>
      </c>
      <c r="AL118" s="80" t="str">
        <f>VLOOKUP($AD118,[20]Tipologías!$B$3:$G$17,2,FALSE)</f>
        <v>ALTO</v>
      </c>
      <c r="AM118" s="80">
        <f t="shared" si="52"/>
        <v>3</v>
      </c>
      <c r="AN118" s="80" t="str">
        <f>VLOOKUP($AE118,[20]Tipologías!$A$21:$C$24,3,FALSE)</f>
        <v>MEDIO</v>
      </c>
      <c r="AO118" s="80">
        <f t="shared" si="53"/>
        <v>2</v>
      </c>
      <c r="AP118" s="80">
        <f>VLOOKUP($AI118,[20]Tipologías!$A$38:$B$42,2,FALSE)</f>
        <v>1.5</v>
      </c>
      <c r="AQ118" s="80">
        <f>VLOOKUP($AJ118,[20]Tipologías!$A$46:$B$53,2,FALSE)</f>
        <v>2</v>
      </c>
      <c r="AR118" s="80" t="str">
        <f t="shared" si="100"/>
        <v>ALTO</v>
      </c>
      <c r="AS118" s="80" t="str">
        <f>VLOOKUP($AG118,[20]Tipologías!$A$29:$C$33,3,FALSE)</f>
        <v>MEDIO</v>
      </c>
      <c r="AT118" s="80" t="str">
        <f t="shared" si="101"/>
        <v>ALTO</v>
      </c>
      <c r="AU118" s="80" t="str">
        <f t="shared" si="102"/>
        <v>ALTO</v>
      </c>
      <c r="AV118" s="80" t="str">
        <f>_xlfn.IFNA(VLOOKUP(AD118,[20]Tipologías!$B$3:$G$17,4,0),"")</f>
        <v>INFORMACIÓN PÚBLICA CLASIFICADA</v>
      </c>
      <c r="AW118" s="80" t="str">
        <f t="shared" si="103"/>
        <v>IPC</v>
      </c>
      <c r="AX118" s="80" t="str">
        <f>_xlfn.IFNA(VLOOKUP(AD118,[20]Tipologías!$B$3:$G$17,3,0),"")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8" s="80" t="str">
        <f>_xlfn.IFNA(VLOOKUP(AD118,[20]Tipologías!$B$3:$G$17,5,0),"")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8" s="80" t="str">
        <f>_xlfn.IFNA(VLOOKUP(AD118,[20]Tipologías!$B$3:$G$17,6,0),"")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8" s="76" t="s">
        <v>196</v>
      </c>
      <c r="BB118" s="215">
        <v>45229</v>
      </c>
      <c r="BC118" s="76" t="s">
        <v>201</v>
      </c>
      <c r="BD118" s="78" t="s">
        <v>798</v>
      </c>
      <c r="BE118" s="78" t="s">
        <v>799</v>
      </c>
      <c r="BF118" s="45"/>
      <c r="BG118" s="45"/>
      <c r="BH118" s="45"/>
      <c r="BI118" s="45"/>
      <c r="BJ118" s="45"/>
      <c r="BK118" s="45"/>
      <c r="BL118" s="45"/>
      <c r="BM118" s="45"/>
      <c r="BN118" s="45"/>
      <c r="BO118" s="45"/>
      <c r="BP118" s="45"/>
      <c r="BQ118" s="45"/>
      <c r="BR118" s="45"/>
      <c r="BS118" s="45"/>
      <c r="BT118" s="45"/>
      <c r="BU118" s="45"/>
      <c r="BV118" s="45"/>
      <c r="BW118" s="45"/>
      <c r="BX118" s="45"/>
    </row>
    <row r="119" spans="1:76" s="67" customFormat="1" ht="207.2" customHeight="1" x14ac:dyDescent="0.2">
      <c r="A119" s="76">
        <v>110</v>
      </c>
      <c r="B119" s="74" t="s">
        <v>62</v>
      </c>
      <c r="C119" s="74" t="s">
        <v>307</v>
      </c>
      <c r="D119" s="100" t="s">
        <v>284</v>
      </c>
      <c r="E119" s="100" t="s">
        <v>821</v>
      </c>
      <c r="F119" s="75" t="s">
        <v>822</v>
      </c>
      <c r="G119" s="74" t="s">
        <v>199</v>
      </c>
      <c r="H119" s="75" t="s">
        <v>284</v>
      </c>
      <c r="I119" s="75" t="s">
        <v>284</v>
      </c>
      <c r="J119" s="107" t="s">
        <v>319</v>
      </c>
      <c r="K119" s="100" t="s">
        <v>320</v>
      </c>
      <c r="L119" s="75" t="s">
        <v>321</v>
      </c>
      <c r="M119" s="75" t="s">
        <v>823</v>
      </c>
      <c r="N119" s="75" t="s">
        <v>195</v>
      </c>
      <c r="O119" s="75" t="s">
        <v>151</v>
      </c>
      <c r="P119" s="157" t="s">
        <v>813</v>
      </c>
      <c r="Q119" s="76" t="s">
        <v>325</v>
      </c>
      <c r="R119" s="76"/>
      <c r="S119" s="100" t="s">
        <v>195</v>
      </c>
      <c r="T119" s="100" t="s">
        <v>195</v>
      </c>
      <c r="U119" s="77" t="s">
        <v>329</v>
      </c>
      <c r="V119" s="77" t="s">
        <v>195</v>
      </c>
      <c r="W119" s="77" t="s">
        <v>195</v>
      </c>
      <c r="X119" s="77" t="s">
        <v>195</v>
      </c>
      <c r="Y119" s="77" t="s">
        <v>195</v>
      </c>
      <c r="Z119" s="77" t="s">
        <v>195</v>
      </c>
      <c r="AA119" s="77" t="s">
        <v>195</v>
      </c>
      <c r="AB119" s="77" t="s">
        <v>195</v>
      </c>
      <c r="AC119" s="79" t="s">
        <v>195</v>
      </c>
      <c r="AD119" s="78" t="s">
        <v>208</v>
      </c>
      <c r="AE119" s="78" t="s">
        <v>132</v>
      </c>
      <c r="AF119" s="136" t="str">
        <f t="shared" si="97"/>
        <v>ALTO</v>
      </c>
      <c r="AG119" s="78" t="s">
        <v>104</v>
      </c>
      <c r="AH119" s="136" t="str">
        <f t="shared" si="98"/>
        <v>ALTO</v>
      </c>
      <c r="AI119" s="78" t="s">
        <v>114</v>
      </c>
      <c r="AJ119" s="78" t="s">
        <v>117</v>
      </c>
      <c r="AK119" s="136" t="str">
        <f t="shared" si="99"/>
        <v>ALTO</v>
      </c>
      <c r="AL119" s="80" t="str">
        <f>VLOOKUP($AD119,[20]Tipologías!$B$3:$G$17,2,FALSE)</f>
        <v>ALTO</v>
      </c>
      <c r="AM119" s="80">
        <f t="shared" si="52"/>
        <v>3</v>
      </c>
      <c r="AN119" s="80" t="str">
        <f>VLOOKUP($AE119,[20]Tipologías!$A$21:$C$24,3,FALSE)</f>
        <v>MEDIO</v>
      </c>
      <c r="AO119" s="80">
        <f t="shared" si="53"/>
        <v>2</v>
      </c>
      <c r="AP119" s="80">
        <f>VLOOKUP($AI119,[20]Tipologías!$A$38:$B$42,2,FALSE)</f>
        <v>1.5</v>
      </c>
      <c r="AQ119" s="80">
        <f>VLOOKUP($AJ119,[20]Tipologías!$A$46:$B$53,2,FALSE)</f>
        <v>2.5</v>
      </c>
      <c r="AR119" s="80" t="str">
        <f t="shared" si="100"/>
        <v>ALTO</v>
      </c>
      <c r="AS119" s="80" t="str">
        <f>VLOOKUP($AG119,[20]Tipologías!$A$29:$C$33,3,FALSE)</f>
        <v>ALTO</v>
      </c>
      <c r="AT119" s="80" t="str">
        <f t="shared" si="101"/>
        <v>ALTO</v>
      </c>
      <c r="AU119" s="80" t="str">
        <f t="shared" si="102"/>
        <v>ALTO</v>
      </c>
      <c r="AV119" s="80" t="str">
        <f>_xlfn.IFNA(VLOOKUP(AD119,[20]Tipologías!$B$3:$G$17,4,0),"")</f>
        <v>INFORMACIÓN PÚBLICA CLASIFICADA</v>
      </c>
      <c r="AW119" s="80" t="str">
        <f t="shared" si="103"/>
        <v>IPC</v>
      </c>
      <c r="AX119" s="80" t="str">
        <f>_xlfn.IFNA(VLOOKUP(AD119,[20]Tipologías!$B$3:$G$17,3,0),"")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19" s="80" t="str">
        <f>_xlfn.IFNA(VLOOKUP(AD119,[20]Tipologías!$B$3:$G$17,5,0),"")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19" s="80" t="str">
        <f>_xlfn.IFNA(VLOOKUP(AD119,[20]Tipologías!$B$3:$G$17,6,0),"")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19" s="76" t="s">
        <v>196</v>
      </c>
      <c r="BB119" s="215">
        <v>45229</v>
      </c>
      <c r="BC119" s="76" t="s">
        <v>201</v>
      </c>
      <c r="BD119" s="78" t="s">
        <v>798</v>
      </c>
      <c r="BE119" s="78" t="s">
        <v>799</v>
      </c>
      <c r="BF119" s="45"/>
      <c r="BG119" s="45"/>
      <c r="BH119" s="45"/>
      <c r="BI119" s="45"/>
      <c r="BJ119" s="45"/>
      <c r="BK119" s="45"/>
      <c r="BL119" s="45"/>
      <c r="BM119" s="45"/>
      <c r="BN119" s="45"/>
      <c r="BO119" s="45"/>
      <c r="BP119" s="45"/>
      <c r="BQ119" s="45"/>
      <c r="BR119" s="45"/>
      <c r="BS119" s="45"/>
      <c r="BT119" s="45"/>
      <c r="BU119" s="45"/>
      <c r="BV119" s="45"/>
      <c r="BW119" s="45"/>
      <c r="BX119" s="45"/>
    </row>
    <row r="120" spans="1:76" s="67" customFormat="1" ht="207.2" customHeight="1" x14ac:dyDescent="0.2">
      <c r="A120" s="76">
        <v>111</v>
      </c>
      <c r="B120" s="74" t="s">
        <v>62</v>
      </c>
      <c r="C120" s="74" t="s">
        <v>307</v>
      </c>
      <c r="D120" s="100" t="s">
        <v>284</v>
      </c>
      <c r="E120" s="100" t="s">
        <v>824</v>
      </c>
      <c r="F120" s="75" t="s">
        <v>825</v>
      </c>
      <c r="G120" s="74" t="s">
        <v>205</v>
      </c>
      <c r="H120" s="75" t="s">
        <v>284</v>
      </c>
      <c r="I120" s="75" t="s">
        <v>284</v>
      </c>
      <c r="J120" s="107" t="s">
        <v>336</v>
      </c>
      <c r="K120" s="100" t="s">
        <v>320</v>
      </c>
      <c r="L120" s="75" t="s">
        <v>321</v>
      </c>
      <c r="M120" s="75" t="s">
        <v>823</v>
      </c>
      <c r="N120" s="75" t="s">
        <v>826</v>
      </c>
      <c r="O120" s="75" t="s">
        <v>151</v>
      </c>
      <c r="P120" s="157" t="s">
        <v>195</v>
      </c>
      <c r="Q120" s="76" t="s">
        <v>325</v>
      </c>
      <c r="R120" s="76"/>
      <c r="S120" s="100" t="s">
        <v>195</v>
      </c>
      <c r="T120" s="100" t="s">
        <v>195</v>
      </c>
      <c r="U120" s="77" t="s">
        <v>328</v>
      </c>
      <c r="V120" s="77" t="s">
        <v>328</v>
      </c>
      <c r="W120" s="77" t="s">
        <v>328</v>
      </c>
      <c r="X120" s="77" t="s">
        <v>328</v>
      </c>
      <c r="Y120" s="77" t="s">
        <v>328</v>
      </c>
      <c r="Z120" s="77" t="s">
        <v>328</v>
      </c>
      <c r="AA120" s="77" t="s">
        <v>195</v>
      </c>
      <c r="AB120" s="77" t="s">
        <v>195</v>
      </c>
      <c r="AC120" s="79" t="s">
        <v>195</v>
      </c>
      <c r="AD120" s="78" t="s">
        <v>208</v>
      </c>
      <c r="AE120" s="78" t="s">
        <v>132</v>
      </c>
      <c r="AF120" s="136" t="str">
        <f t="shared" si="97"/>
        <v>ALTO</v>
      </c>
      <c r="AG120" s="78" t="s">
        <v>104</v>
      </c>
      <c r="AH120" s="136" t="str">
        <f t="shared" si="98"/>
        <v>ALTO</v>
      </c>
      <c r="AI120" s="78" t="s">
        <v>114</v>
      </c>
      <c r="AJ120" s="78" t="s">
        <v>117</v>
      </c>
      <c r="AK120" s="136" t="str">
        <f t="shared" si="99"/>
        <v>ALTO</v>
      </c>
      <c r="AL120" s="80" t="str">
        <f>VLOOKUP($AD120,[20]Tipologías!$B$3:$G$17,2,FALSE)</f>
        <v>ALTO</v>
      </c>
      <c r="AM120" s="80">
        <f t="shared" si="52"/>
        <v>3</v>
      </c>
      <c r="AN120" s="80" t="str">
        <f>VLOOKUP($AE120,[20]Tipologías!$A$21:$C$24,3,FALSE)</f>
        <v>MEDIO</v>
      </c>
      <c r="AO120" s="80">
        <f t="shared" si="53"/>
        <v>2</v>
      </c>
      <c r="AP120" s="80">
        <f>VLOOKUP($AI120,[20]Tipologías!$A$38:$B$42,2,FALSE)</f>
        <v>1.5</v>
      </c>
      <c r="AQ120" s="80">
        <f>VLOOKUP($AJ120,[20]Tipologías!$A$46:$B$53,2,FALSE)</f>
        <v>2.5</v>
      </c>
      <c r="AR120" s="80" t="str">
        <f t="shared" si="100"/>
        <v>ALTO</v>
      </c>
      <c r="AS120" s="80" t="str">
        <f>VLOOKUP($AG120,[20]Tipologías!$A$29:$C$33,3,FALSE)</f>
        <v>ALTO</v>
      </c>
      <c r="AT120" s="80" t="str">
        <f t="shared" si="101"/>
        <v>ALTO</v>
      </c>
      <c r="AU120" s="80" t="str">
        <f t="shared" si="102"/>
        <v>ALTO</v>
      </c>
      <c r="AV120" s="80" t="str">
        <f>_xlfn.IFNA(VLOOKUP(AD120,[20]Tipologías!$B$3:$G$17,4,0),"")</f>
        <v>INFORMACIÓN PÚBLICA CLASIFICADA</v>
      </c>
      <c r="AW120" s="80" t="str">
        <f t="shared" si="103"/>
        <v>IPC</v>
      </c>
      <c r="AX120" s="80" t="str">
        <f>_xlfn.IFNA(VLOOKUP(AD120,[20]Tipologías!$B$3:$G$17,3,0),"")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0" s="80" t="str">
        <f>_xlfn.IFNA(VLOOKUP(AD120,[20]Tipologías!$B$3:$G$17,5,0),"")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0" s="80" t="str">
        <f>_xlfn.IFNA(VLOOKUP(AD120,[20]Tipologías!$B$3:$G$17,6,0),"")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0" s="76" t="s">
        <v>196</v>
      </c>
      <c r="BB120" s="215">
        <v>45229</v>
      </c>
      <c r="BC120" s="76" t="s">
        <v>201</v>
      </c>
      <c r="BD120" s="78" t="s">
        <v>798</v>
      </c>
      <c r="BE120" s="78" t="s">
        <v>799</v>
      </c>
      <c r="BF120" s="45"/>
      <c r="BG120" s="45"/>
      <c r="BH120" s="45"/>
      <c r="BI120" s="45"/>
      <c r="BJ120" s="45"/>
      <c r="BK120" s="45"/>
      <c r="BL120" s="45"/>
      <c r="BM120" s="45"/>
      <c r="BN120" s="45"/>
      <c r="BO120" s="45"/>
      <c r="BP120" s="45"/>
      <c r="BQ120" s="45"/>
      <c r="BR120" s="45"/>
      <c r="BS120" s="45"/>
      <c r="BT120" s="45"/>
      <c r="BU120" s="45"/>
      <c r="BV120" s="45"/>
      <c r="BW120" s="45"/>
      <c r="BX120" s="45"/>
    </row>
    <row r="121" spans="1:76" s="67" customFormat="1" ht="207.2" customHeight="1" x14ac:dyDescent="0.2">
      <c r="A121" s="76">
        <v>112</v>
      </c>
      <c r="B121" s="107" t="s">
        <v>62</v>
      </c>
      <c r="C121" s="107" t="s">
        <v>162</v>
      </c>
      <c r="D121" s="100" t="s">
        <v>278</v>
      </c>
      <c r="E121" s="197" t="s">
        <v>827</v>
      </c>
      <c r="F121" s="198" t="s">
        <v>828</v>
      </c>
      <c r="G121" s="107" t="s">
        <v>173</v>
      </c>
      <c r="H121" s="100" t="s">
        <v>510</v>
      </c>
      <c r="I121" s="100" t="s">
        <v>510</v>
      </c>
      <c r="J121" s="107"/>
      <c r="K121" s="100" t="s">
        <v>320</v>
      </c>
      <c r="L121" s="100"/>
      <c r="M121" s="100" t="s">
        <v>195</v>
      </c>
      <c r="N121" s="100" t="s">
        <v>195</v>
      </c>
      <c r="O121" s="100"/>
      <c r="P121" s="100" t="s">
        <v>195</v>
      </c>
      <c r="Q121" s="76" t="s">
        <v>325</v>
      </c>
      <c r="R121" s="100" t="s">
        <v>195</v>
      </c>
      <c r="S121" s="100" t="s">
        <v>195</v>
      </c>
      <c r="T121" s="100" t="s">
        <v>195</v>
      </c>
      <c r="U121" s="77"/>
      <c r="V121" s="77" t="s">
        <v>195</v>
      </c>
      <c r="W121" s="77" t="s">
        <v>195</v>
      </c>
      <c r="X121" s="77" t="s">
        <v>195</v>
      </c>
      <c r="Y121" s="77" t="s">
        <v>195</v>
      </c>
      <c r="Z121" s="77" t="s">
        <v>195</v>
      </c>
      <c r="AA121" s="77" t="s">
        <v>195</v>
      </c>
      <c r="AB121" s="77" t="s">
        <v>195</v>
      </c>
      <c r="AC121" s="138" t="s">
        <v>195</v>
      </c>
      <c r="AD121" s="78" t="s">
        <v>89</v>
      </c>
      <c r="AE121" s="78" t="s">
        <v>130</v>
      </c>
      <c r="AF121" s="136" t="str">
        <f t="shared" si="97"/>
        <v>BAJO</v>
      </c>
      <c r="AG121" s="78" t="s">
        <v>101</v>
      </c>
      <c r="AH121" s="136" t="str">
        <f t="shared" si="98"/>
        <v>BAJO</v>
      </c>
      <c r="AI121" s="78" t="s">
        <v>111</v>
      </c>
      <c r="AJ121" s="78" t="s">
        <v>121</v>
      </c>
      <c r="AK121" s="136" t="str">
        <f t="shared" si="99"/>
        <v>BAJO</v>
      </c>
      <c r="AL121" s="80" t="str">
        <f>VLOOKUP($AD121,[21]Tipologías!$B$3:$G$17,2,FALSE)</f>
        <v>BAJO</v>
      </c>
      <c r="AM121" s="80">
        <f t="shared" si="52"/>
        <v>1</v>
      </c>
      <c r="AN121" s="80" t="str">
        <f>VLOOKUP($AE121,[21]Tipologías!$A$21:$C$24,3,FALSE)</f>
        <v>BAJO</v>
      </c>
      <c r="AO121" s="80">
        <f t="shared" si="53"/>
        <v>1</v>
      </c>
      <c r="AP121" s="80">
        <f>VLOOKUP($AI121,[21]Tipologías!$A$38:$B$42,2,FALSE)</f>
        <v>0.5</v>
      </c>
      <c r="AQ121" s="80">
        <f>VLOOKUP($AJ121,[21]Tipologías!$A$46:$B$53,2,FALSE)</f>
        <v>1.25</v>
      </c>
      <c r="AR121" s="80" t="str">
        <f t="shared" si="100"/>
        <v>BAJO</v>
      </c>
      <c r="AS121" s="80" t="str">
        <f>VLOOKUP($AG121,[21]Tipologías!$A$29:$C$33,3,FALSE)</f>
        <v>BAJO</v>
      </c>
      <c r="AT121" s="80" t="str">
        <f t="shared" si="101"/>
        <v>BAJO</v>
      </c>
      <c r="AU121" s="80" t="str">
        <f t="shared" si="102"/>
        <v>BAJO</v>
      </c>
      <c r="AV121" s="80" t="str">
        <f>_xlfn.IFNA(VLOOKUP(AD121,[21]Tipologías!$B$3:$G$17,4,0),"")</f>
        <v>INFORMACIÓN PÚBLICA</v>
      </c>
      <c r="AW121" s="80" t="str">
        <f t="shared" si="103"/>
        <v>IPB</v>
      </c>
      <c r="AX121" s="80" t="str">
        <f>_xlfn.IFNA(VLOOKUP(AD121,[21]Tipologías!$B$3:$G$17,3,0),"")</f>
        <v>LEY 1712 DE 2014 LEY DE TRANSPARENCIA Y DERECHO DE ACCESO A LA INFORMACIÓN. ARTÍCULO 6 DEFINICIONES LITERAL B.</v>
      </c>
      <c r="AY121" s="80" t="str">
        <f>_xlfn.IFNA(VLOOKUP(AD121,[21]Tipologías!$B$3:$G$17,5,0),"")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1" s="80" t="str">
        <f>_xlfn.IFNA(VLOOKUP(AD121,[21]Tipologías!$B$3:$G$17,6,0),"")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1" s="76"/>
      <c r="BB121" s="215">
        <v>45105</v>
      </c>
      <c r="BC121" s="76" t="s">
        <v>195</v>
      </c>
      <c r="BD121" s="78" t="s">
        <v>854</v>
      </c>
      <c r="BE121" s="78" t="s">
        <v>855</v>
      </c>
      <c r="BF121" s="45"/>
      <c r="BG121" s="45"/>
      <c r="BH121" s="45"/>
      <c r="BI121" s="45"/>
      <c r="BJ121" s="45"/>
      <c r="BK121" s="45"/>
      <c r="BL121" s="45"/>
      <c r="BM121" s="45"/>
      <c r="BN121" s="45"/>
      <c r="BO121" s="45"/>
      <c r="BP121" s="45"/>
      <c r="BQ121" s="45"/>
      <c r="BR121" s="45"/>
      <c r="BS121" s="45"/>
      <c r="BT121" s="45"/>
      <c r="BU121" s="45"/>
      <c r="BV121" s="45"/>
      <c r="BW121" s="45"/>
      <c r="BX121" s="45"/>
    </row>
    <row r="122" spans="1:76" s="67" customFormat="1" ht="207.2" customHeight="1" x14ac:dyDescent="0.2">
      <c r="A122" s="76">
        <v>113</v>
      </c>
      <c r="B122" s="107" t="s">
        <v>62</v>
      </c>
      <c r="C122" s="107" t="s">
        <v>162</v>
      </c>
      <c r="D122" s="100" t="s">
        <v>278</v>
      </c>
      <c r="E122" s="199" t="s">
        <v>586</v>
      </c>
      <c r="F122" s="200" t="s">
        <v>829</v>
      </c>
      <c r="G122" s="107" t="s">
        <v>205</v>
      </c>
      <c r="H122" s="100" t="s">
        <v>510</v>
      </c>
      <c r="I122" s="100" t="s">
        <v>830</v>
      </c>
      <c r="J122" s="107" t="s">
        <v>319</v>
      </c>
      <c r="K122" s="100" t="s">
        <v>320</v>
      </c>
      <c r="L122" s="100" t="s">
        <v>321</v>
      </c>
      <c r="M122" s="100" t="s">
        <v>831</v>
      </c>
      <c r="N122" s="100" t="s">
        <v>832</v>
      </c>
      <c r="O122" s="100" t="s">
        <v>151</v>
      </c>
      <c r="P122" s="100" t="s">
        <v>833</v>
      </c>
      <c r="Q122" s="76" t="s">
        <v>325</v>
      </c>
      <c r="R122" s="76" t="s">
        <v>325</v>
      </c>
      <c r="S122" s="100" t="s">
        <v>195</v>
      </c>
      <c r="T122" s="100" t="s">
        <v>195</v>
      </c>
      <c r="U122" s="77" t="s">
        <v>328</v>
      </c>
      <c r="V122" s="77" t="s">
        <v>328</v>
      </c>
      <c r="W122" s="77" t="s">
        <v>328</v>
      </c>
      <c r="X122" s="77" t="s">
        <v>328</v>
      </c>
      <c r="Y122" s="77" t="s">
        <v>328</v>
      </c>
      <c r="Z122" s="77" t="s">
        <v>328</v>
      </c>
      <c r="AA122" s="77" t="s">
        <v>195</v>
      </c>
      <c r="AB122" s="77" t="s">
        <v>195</v>
      </c>
      <c r="AC122" s="138" t="s">
        <v>195</v>
      </c>
      <c r="AD122" s="77" t="s">
        <v>89</v>
      </c>
      <c r="AE122" s="77" t="s">
        <v>132</v>
      </c>
      <c r="AF122" s="136" t="str">
        <f t="shared" si="97"/>
        <v>MEDIO</v>
      </c>
      <c r="AG122" s="78" t="s">
        <v>104</v>
      </c>
      <c r="AH122" s="136" t="str">
        <f t="shared" si="98"/>
        <v>ALTO</v>
      </c>
      <c r="AI122" s="78" t="s">
        <v>115</v>
      </c>
      <c r="AJ122" s="78" t="s">
        <v>123</v>
      </c>
      <c r="AK122" s="136" t="str">
        <f t="shared" si="99"/>
        <v>MEDIO</v>
      </c>
      <c r="AL122" s="201" t="str">
        <f>VLOOKUP($AD122,[21]Tipologías!$B$3:$G$17,2,FALSE)</f>
        <v>BAJO</v>
      </c>
      <c r="AM122" s="80">
        <f t="shared" si="52"/>
        <v>1</v>
      </c>
      <c r="AN122" s="80" t="str">
        <f>VLOOKUP($AE122,[21]Tipologías!$A$21:$C$24,3,FALSE)</f>
        <v>MEDIO</v>
      </c>
      <c r="AO122" s="80">
        <f t="shared" si="53"/>
        <v>2</v>
      </c>
      <c r="AP122" s="80">
        <f>VLOOKUP($AI122,[21]Tipologías!$A$38:$B$42,2,FALSE)</f>
        <v>2</v>
      </c>
      <c r="AQ122" s="80">
        <f>VLOOKUP($AJ122,[21]Tipologías!$A$46:$B$53,2,FALSE)</f>
        <v>0.5</v>
      </c>
      <c r="AR122" s="80" t="str">
        <f t="shared" si="100"/>
        <v>MEDIO</v>
      </c>
      <c r="AS122" s="80" t="str">
        <f>VLOOKUP($AG122,[21]Tipologías!$A$29:$C$33,3,FALSE)</f>
        <v>ALTO</v>
      </c>
      <c r="AT122" s="80" t="str">
        <f t="shared" si="101"/>
        <v>MEDIO</v>
      </c>
      <c r="AU122" s="80" t="str">
        <f t="shared" si="102"/>
        <v>MEDIO</v>
      </c>
      <c r="AV122" s="80" t="str">
        <f>_xlfn.IFNA(VLOOKUP(AD122,[21]Tipologías!$B$3:$G$17,4,0),"")</f>
        <v>INFORMACIÓN PÚBLICA</v>
      </c>
      <c r="AW122" s="80" t="str">
        <f t="shared" si="103"/>
        <v>IPB</v>
      </c>
      <c r="AX122" s="80" t="str">
        <f>_xlfn.IFNA(VLOOKUP(AD122,[21]Tipologías!$B$3:$G$17,3,0),"")</f>
        <v>LEY 1712 DE 2014 LEY DE TRANSPARENCIA Y DERECHO DE ACCESO A LA INFORMACIÓN. ARTÍCULO 6 DEFINICIONES LITERAL B.</v>
      </c>
      <c r="AY122" s="80" t="str">
        <f>_xlfn.IFNA(VLOOKUP(AD122,[21]Tipologías!$B$3:$G$17,5,0),"")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2" s="80" t="str">
        <f>_xlfn.IFNA(VLOOKUP(AD122,[21]Tipologías!$B$3:$G$17,6,0),"")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2" s="77" t="s">
        <v>197</v>
      </c>
      <c r="BB122" s="215">
        <v>45105</v>
      </c>
      <c r="BC122" s="76" t="s">
        <v>201</v>
      </c>
      <c r="BD122" s="78" t="s">
        <v>854</v>
      </c>
      <c r="BE122" s="78" t="s">
        <v>855</v>
      </c>
      <c r="BF122" s="45"/>
      <c r="BG122" s="45"/>
      <c r="BH122" s="45"/>
      <c r="BI122" s="45"/>
      <c r="BJ122" s="45"/>
      <c r="BK122" s="45"/>
      <c r="BL122" s="45"/>
      <c r="BM122" s="45"/>
      <c r="BN122" s="45"/>
      <c r="BO122" s="45"/>
      <c r="BP122" s="45"/>
      <c r="BQ122" s="45"/>
      <c r="BR122" s="45"/>
      <c r="BS122" s="45"/>
      <c r="BT122" s="45"/>
      <c r="BU122" s="45"/>
      <c r="BV122" s="45"/>
      <c r="BW122" s="45"/>
      <c r="BX122" s="45"/>
    </row>
    <row r="123" spans="1:76" s="67" customFormat="1" ht="207.2" customHeight="1" x14ac:dyDescent="0.2">
      <c r="A123" s="76">
        <v>114</v>
      </c>
      <c r="B123" s="107" t="s">
        <v>62</v>
      </c>
      <c r="C123" s="107" t="s">
        <v>162</v>
      </c>
      <c r="D123" s="100" t="s">
        <v>278</v>
      </c>
      <c r="E123" s="199" t="s">
        <v>834</v>
      </c>
      <c r="F123" s="200" t="s">
        <v>829</v>
      </c>
      <c r="G123" s="107" t="s">
        <v>205</v>
      </c>
      <c r="H123" s="100" t="s">
        <v>510</v>
      </c>
      <c r="I123" s="100" t="s">
        <v>830</v>
      </c>
      <c r="J123" s="107" t="s">
        <v>319</v>
      </c>
      <c r="K123" s="100" t="s">
        <v>320</v>
      </c>
      <c r="L123" s="100" t="s">
        <v>321</v>
      </c>
      <c r="M123" s="100" t="s">
        <v>831</v>
      </c>
      <c r="N123" s="100" t="s">
        <v>835</v>
      </c>
      <c r="O123" s="100" t="s">
        <v>151</v>
      </c>
      <c r="P123" s="100" t="s">
        <v>833</v>
      </c>
      <c r="Q123" s="76" t="s">
        <v>325</v>
      </c>
      <c r="R123" s="76" t="s">
        <v>325</v>
      </c>
      <c r="S123" s="100" t="s">
        <v>195</v>
      </c>
      <c r="T123" s="100" t="s">
        <v>195</v>
      </c>
      <c r="U123" s="77" t="s">
        <v>328</v>
      </c>
      <c r="V123" s="77" t="s">
        <v>328</v>
      </c>
      <c r="W123" s="77" t="s">
        <v>329</v>
      </c>
      <c r="X123" s="77" t="s">
        <v>328</v>
      </c>
      <c r="Y123" s="77" t="s">
        <v>328</v>
      </c>
      <c r="Z123" s="77" t="s">
        <v>329</v>
      </c>
      <c r="AA123" s="77" t="s">
        <v>195</v>
      </c>
      <c r="AB123" s="77" t="s">
        <v>195</v>
      </c>
      <c r="AC123" s="138" t="s">
        <v>195</v>
      </c>
      <c r="AD123" s="77" t="s">
        <v>206</v>
      </c>
      <c r="AE123" s="77" t="s">
        <v>130</v>
      </c>
      <c r="AF123" s="136" t="str">
        <f t="shared" si="97"/>
        <v>ALTO</v>
      </c>
      <c r="AG123" s="78" t="s">
        <v>104</v>
      </c>
      <c r="AH123" s="136" t="str">
        <f t="shared" si="98"/>
        <v>ALTO</v>
      </c>
      <c r="AI123" s="78" t="s">
        <v>113</v>
      </c>
      <c r="AJ123" s="78" t="s">
        <v>124</v>
      </c>
      <c r="AK123" s="136" t="str">
        <f t="shared" si="99"/>
        <v>BAJO</v>
      </c>
      <c r="AL123" s="80" t="str">
        <f>VLOOKUP($AD123,[21]Tipologías!$B$3:$G$17,2,FALSE)</f>
        <v>ALTO</v>
      </c>
      <c r="AM123" s="80">
        <f t="shared" si="52"/>
        <v>3</v>
      </c>
      <c r="AN123" s="80" t="str">
        <f>VLOOKUP($AE123,[21]Tipologías!$A$21:$C$24,3,FALSE)</f>
        <v>BAJO</v>
      </c>
      <c r="AO123" s="80">
        <f t="shared" si="53"/>
        <v>1</v>
      </c>
      <c r="AP123" s="80">
        <f>VLOOKUP($AI123,[21]Tipologías!$A$38:$B$42,2,FALSE)</f>
        <v>1</v>
      </c>
      <c r="AQ123" s="80">
        <f>VLOOKUP($AJ123,[21]Tipologías!$A$46:$B$53,2,FALSE)</f>
        <v>0.25</v>
      </c>
      <c r="AR123" s="80" t="str">
        <f t="shared" si="100"/>
        <v>ALTO</v>
      </c>
      <c r="AS123" s="80" t="str">
        <f>VLOOKUP($AG123,[21]Tipologías!$A$29:$C$33,3,FALSE)</f>
        <v>ALTO</v>
      </c>
      <c r="AT123" s="80" t="str">
        <f t="shared" si="101"/>
        <v>BAJO</v>
      </c>
      <c r="AU123" s="80" t="str">
        <f t="shared" si="102"/>
        <v>ALTO</v>
      </c>
      <c r="AV123" s="80" t="str">
        <f>_xlfn.IFNA(VLOOKUP(AD123,[21]Tipologías!$B$3:$G$17,4,0),"")</f>
        <v>INFORMACIÓN PÚBLICA CLASIFICADA</v>
      </c>
      <c r="AW123" s="80" t="str">
        <f t="shared" si="103"/>
        <v>IPC</v>
      </c>
      <c r="AX123" s="80" t="str">
        <f>_xlfn.IFNA(VLOOKUP(AD123,[21]Tipologías!$B$3:$G$17,3,0),"")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3" s="80" t="str">
        <f>_xlfn.IFNA(VLOOKUP(AD123,[21]Tipologías!$B$3:$G$17,5,0),"")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3" s="80" t="str">
        <f>_xlfn.IFNA(VLOOKUP(AD123,[21]Tipologías!$B$3:$G$17,6,0),"")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3" s="77" t="s">
        <v>197</v>
      </c>
      <c r="BB123" s="215">
        <v>45105</v>
      </c>
      <c r="BC123" s="76" t="s">
        <v>201</v>
      </c>
      <c r="BD123" s="78" t="s">
        <v>854</v>
      </c>
      <c r="BE123" s="78" t="s">
        <v>855</v>
      </c>
      <c r="BF123" s="45"/>
      <c r="BG123" s="45"/>
      <c r="BH123" s="45"/>
      <c r="BI123" s="45"/>
      <c r="BJ123" s="45"/>
      <c r="BK123" s="45"/>
      <c r="BL123" s="45"/>
      <c r="BM123" s="45"/>
      <c r="BN123" s="45"/>
      <c r="BO123" s="45"/>
      <c r="BP123" s="45"/>
      <c r="BQ123" s="45"/>
      <c r="BR123" s="45"/>
      <c r="BS123" s="45"/>
      <c r="BT123" s="45"/>
      <c r="BU123" s="45"/>
      <c r="BV123" s="45"/>
      <c r="BW123" s="45"/>
      <c r="BX123" s="45"/>
    </row>
    <row r="124" spans="1:76" s="67" customFormat="1" ht="207.2" customHeight="1" x14ac:dyDescent="0.2">
      <c r="A124" s="76">
        <v>115</v>
      </c>
      <c r="B124" s="107" t="s">
        <v>62</v>
      </c>
      <c r="C124" s="107" t="s">
        <v>162</v>
      </c>
      <c r="D124" s="100" t="s">
        <v>278</v>
      </c>
      <c r="E124" s="199" t="s">
        <v>836</v>
      </c>
      <c r="F124" s="200" t="s">
        <v>837</v>
      </c>
      <c r="G124" s="107" t="s">
        <v>205</v>
      </c>
      <c r="H124" s="100" t="s">
        <v>510</v>
      </c>
      <c r="I124" s="100" t="s">
        <v>284</v>
      </c>
      <c r="J124" s="107" t="s">
        <v>336</v>
      </c>
      <c r="K124" s="100" t="s">
        <v>320</v>
      </c>
      <c r="L124" s="100" t="s">
        <v>321</v>
      </c>
      <c r="M124" s="100" t="s">
        <v>195</v>
      </c>
      <c r="N124" s="100" t="s">
        <v>835</v>
      </c>
      <c r="O124" s="100" t="s">
        <v>144</v>
      </c>
      <c r="P124" s="100" t="s">
        <v>838</v>
      </c>
      <c r="Q124" s="76" t="s">
        <v>325</v>
      </c>
      <c r="R124" s="76" t="s">
        <v>325</v>
      </c>
      <c r="S124" s="100" t="s">
        <v>195</v>
      </c>
      <c r="T124" s="100" t="s">
        <v>195</v>
      </c>
      <c r="U124" s="77" t="s">
        <v>328</v>
      </c>
      <c r="V124" s="77" t="s">
        <v>328</v>
      </c>
      <c r="W124" s="77" t="s">
        <v>328</v>
      </c>
      <c r="X124" s="77" t="s">
        <v>328</v>
      </c>
      <c r="Y124" s="77" t="s">
        <v>328</v>
      </c>
      <c r="Z124" s="77" t="s">
        <v>328</v>
      </c>
      <c r="AA124" s="77" t="s">
        <v>195</v>
      </c>
      <c r="AB124" s="77" t="s">
        <v>195</v>
      </c>
      <c r="AC124" s="138" t="s">
        <v>195</v>
      </c>
      <c r="AD124" s="77" t="s">
        <v>206</v>
      </c>
      <c r="AE124" s="78" t="s">
        <v>132</v>
      </c>
      <c r="AF124" s="136" t="str">
        <f t="shared" si="97"/>
        <v>ALTO</v>
      </c>
      <c r="AG124" s="78" t="s">
        <v>104</v>
      </c>
      <c r="AH124" s="136" t="str">
        <f t="shared" si="98"/>
        <v>ALTO</v>
      </c>
      <c r="AI124" s="78" t="s">
        <v>114</v>
      </c>
      <c r="AJ124" s="78" t="s">
        <v>119</v>
      </c>
      <c r="AK124" s="136" t="str">
        <f t="shared" si="99"/>
        <v>ALTO</v>
      </c>
      <c r="AL124" s="80" t="str">
        <f>VLOOKUP($AD124,[21]Tipologías!$B$3:$G$17,2,FALSE)</f>
        <v>ALTO</v>
      </c>
      <c r="AM124" s="80">
        <f t="shared" si="52"/>
        <v>3</v>
      </c>
      <c r="AN124" s="80" t="str">
        <f>VLOOKUP($AE124,[21]Tipologías!$A$21:$C$24,3,FALSE)</f>
        <v>MEDIO</v>
      </c>
      <c r="AO124" s="80">
        <f t="shared" si="53"/>
        <v>2</v>
      </c>
      <c r="AP124" s="80">
        <f>VLOOKUP($AI124,[21]Tipologías!$A$38:$B$42,2,FALSE)</f>
        <v>1.5</v>
      </c>
      <c r="AQ124" s="80">
        <f>VLOOKUP($AJ124,[21]Tipologías!$A$46:$B$53,2,FALSE)</f>
        <v>2</v>
      </c>
      <c r="AR124" s="80" t="str">
        <f t="shared" si="100"/>
        <v>ALTO</v>
      </c>
      <c r="AS124" s="80" t="str">
        <f>VLOOKUP($AG124,[21]Tipologías!$A$29:$C$33,3,FALSE)</f>
        <v>ALTO</v>
      </c>
      <c r="AT124" s="80" t="str">
        <f t="shared" si="101"/>
        <v>ALTO</v>
      </c>
      <c r="AU124" s="80" t="str">
        <f t="shared" si="102"/>
        <v>ALTO</v>
      </c>
      <c r="AV124" s="80" t="str">
        <f>_xlfn.IFNA(VLOOKUP(AD124,[21]Tipologías!$B$3:$G$17,4,0),"")</f>
        <v>INFORMACIÓN PÚBLICA CLASIFICADA</v>
      </c>
      <c r="AW124" s="80" t="str">
        <f t="shared" si="103"/>
        <v>IPC</v>
      </c>
      <c r="AX124" s="80" t="str">
        <f>_xlfn.IFNA(VLOOKUP(AD124,[21]Tipologías!$B$3:$G$17,3,0),"")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4" s="80" t="str">
        <f>_xlfn.IFNA(VLOOKUP(AD124,[21]Tipologías!$B$3:$G$17,5,0),"")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4" s="80" t="str">
        <f>_xlfn.IFNA(VLOOKUP(AD124,[21]Tipologías!$B$3:$G$17,6,0),"")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4" s="77" t="s">
        <v>197</v>
      </c>
      <c r="BB124" s="215">
        <v>45105</v>
      </c>
      <c r="BC124" s="76" t="s">
        <v>201</v>
      </c>
      <c r="BD124" s="78" t="s">
        <v>854</v>
      </c>
      <c r="BE124" s="78" t="s">
        <v>855</v>
      </c>
      <c r="BF124" s="45"/>
      <c r="BG124" s="45"/>
      <c r="BH124" s="45"/>
      <c r="BI124" s="45"/>
      <c r="BJ124" s="45"/>
      <c r="BK124" s="45"/>
      <c r="BL124" s="45"/>
      <c r="BM124" s="45"/>
      <c r="BN124" s="45"/>
      <c r="BO124" s="45"/>
      <c r="BP124" s="45"/>
      <c r="BQ124" s="45"/>
      <c r="BR124" s="45"/>
      <c r="BS124" s="45"/>
      <c r="BT124" s="45"/>
      <c r="BU124" s="45"/>
      <c r="BV124" s="45"/>
      <c r="BW124" s="45"/>
      <c r="BX124" s="45"/>
    </row>
    <row r="125" spans="1:76" s="67" customFormat="1" ht="207.2" customHeight="1" x14ac:dyDescent="0.2">
      <c r="A125" s="76">
        <v>116</v>
      </c>
      <c r="B125" s="107" t="s">
        <v>62</v>
      </c>
      <c r="C125" s="107" t="s">
        <v>162</v>
      </c>
      <c r="D125" s="100" t="s">
        <v>278</v>
      </c>
      <c r="E125" s="199" t="s">
        <v>839</v>
      </c>
      <c r="F125" s="200" t="s">
        <v>840</v>
      </c>
      <c r="G125" s="107" t="s">
        <v>173</v>
      </c>
      <c r="H125" s="100" t="s">
        <v>284</v>
      </c>
      <c r="I125" s="100" t="s">
        <v>284</v>
      </c>
      <c r="J125" s="107"/>
      <c r="K125" s="100" t="s">
        <v>320</v>
      </c>
      <c r="L125" s="109"/>
      <c r="M125" s="100" t="s">
        <v>195</v>
      </c>
      <c r="N125" s="100" t="s">
        <v>195</v>
      </c>
      <c r="O125" s="109"/>
      <c r="P125" s="100" t="s">
        <v>195</v>
      </c>
      <c r="Q125" s="76" t="s">
        <v>325</v>
      </c>
      <c r="R125" s="100" t="s">
        <v>195</v>
      </c>
      <c r="S125" s="100" t="s">
        <v>195</v>
      </c>
      <c r="T125" s="100" t="s">
        <v>195</v>
      </c>
      <c r="U125" s="77" t="s">
        <v>195</v>
      </c>
      <c r="V125" s="77" t="s">
        <v>195</v>
      </c>
      <c r="W125" s="77" t="s">
        <v>195</v>
      </c>
      <c r="X125" s="77" t="s">
        <v>195</v>
      </c>
      <c r="Y125" s="77" t="s">
        <v>195</v>
      </c>
      <c r="Z125" s="77" t="s">
        <v>195</v>
      </c>
      <c r="AA125" s="77" t="s">
        <v>195</v>
      </c>
      <c r="AB125" s="77" t="s">
        <v>195</v>
      </c>
      <c r="AC125" s="138" t="s">
        <v>195</v>
      </c>
      <c r="AD125" s="78" t="s">
        <v>208</v>
      </c>
      <c r="AE125" s="78" t="s">
        <v>134</v>
      </c>
      <c r="AF125" s="136" t="str">
        <f t="shared" si="97"/>
        <v>ALTO</v>
      </c>
      <c r="AG125" s="78" t="s">
        <v>102</v>
      </c>
      <c r="AH125" s="136" t="str">
        <f t="shared" si="98"/>
        <v>MEDIO</v>
      </c>
      <c r="AI125" s="78" t="s">
        <v>111</v>
      </c>
      <c r="AJ125" s="78" t="s">
        <v>121</v>
      </c>
      <c r="AK125" s="136" t="str">
        <f t="shared" si="99"/>
        <v>BAJO</v>
      </c>
      <c r="AL125" s="80" t="str">
        <f>VLOOKUP($AD125,[21]Tipologías!$B$3:$G$17,2,FALSE)</f>
        <v>ALTO</v>
      </c>
      <c r="AM125" s="80">
        <f t="shared" si="52"/>
        <v>3</v>
      </c>
      <c r="AN125" s="80" t="str">
        <f>VLOOKUP($AE125,[21]Tipologías!$A$21:$C$24,3,FALSE)</f>
        <v>ALTO</v>
      </c>
      <c r="AO125" s="80">
        <f t="shared" si="53"/>
        <v>3</v>
      </c>
      <c r="AP125" s="80">
        <f>VLOOKUP($AI125,[21]Tipologías!$A$38:$B$42,2,FALSE)</f>
        <v>0.5</v>
      </c>
      <c r="AQ125" s="80">
        <f>VLOOKUP($AJ125,[21]Tipologías!$A$46:$B$53,2,FALSE)</f>
        <v>1.25</v>
      </c>
      <c r="AR125" s="80" t="str">
        <f t="shared" si="100"/>
        <v>ALTO</v>
      </c>
      <c r="AS125" s="80" t="str">
        <f>VLOOKUP($AG125,[21]Tipologías!$A$29:$C$33,3,FALSE)</f>
        <v>MEDIO</v>
      </c>
      <c r="AT125" s="80" t="str">
        <f t="shared" si="101"/>
        <v>BAJO</v>
      </c>
      <c r="AU125" s="80" t="str">
        <f t="shared" si="102"/>
        <v>MEDIO</v>
      </c>
      <c r="AV125" s="80" t="str">
        <f>_xlfn.IFNA(VLOOKUP(AD125,[21]Tipologías!$B$3:$G$17,4,0),"")</f>
        <v>INFORMACIÓN PÚBLICA CLASIFICADA</v>
      </c>
      <c r="AW125" s="80" t="str">
        <f t="shared" si="103"/>
        <v>IPC</v>
      </c>
      <c r="AX125" s="80" t="str">
        <f>_xlfn.IFNA(VLOOKUP(AD125,[21]Tipologías!$B$3:$G$17,3,0),"")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5" s="80" t="str">
        <f>_xlfn.IFNA(VLOOKUP(AD125,[21]Tipologías!$B$3:$G$17,5,0),"")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5" s="80" t="str">
        <f>_xlfn.IFNA(VLOOKUP(AD125,[21]Tipologías!$B$3:$G$17,6,0),"")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5" s="76"/>
      <c r="BB125" s="215">
        <v>45105</v>
      </c>
      <c r="BC125" s="76" t="s">
        <v>195</v>
      </c>
      <c r="BD125" s="78" t="s">
        <v>854</v>
      </c>
      <c r="BE125" s="78" t="s">
        <v>855</v>
      </c>
      <c r="BF125" s="45"/>
      <c r="BG125" s="45"/>
      <c r="BH125" s="45"/>
      <c r="BI125" s="45"/>
      <c r="BJ125" s="45"/>
      <c r="BK125" s="45"/>
      <c r="BL125" s="45"/>
      <c r="BM125" s="45"/>
      <c r="BN125" s="45"/>
      <c r="BO125" s="45"/>
      <c r="BP125" s="45"/>
      <c r="BQ125" s="45"/>
      <c r="BR125" s="45"/>
      <c r="BS125" s="45"/>
      <c r="BT125" s="45"/>
      <c r="BU125" s="45"/>
      <c r="BV125" s="45"/>
      <c r="BW125" s="45"/>
      <c r="BX125" s="45"/>
    </row>
    <row r="126" spans="1:76" s="67" customFormat="1" ht="207.2" customHeight="1" x14ac:dyDescent="0.2">
      <c r="A126" s="76">
        <v>117</v>
      </c>
      <c r="B126" s="107" t="s">
        <v>62</v>
      </c>
      <c r="C126" s="107" t="s">
        <v>162</v>
      </c>
      <c r="D126" s="100" t="s">
        <v>278</v>
      </c>
      <c r="E126" s="199" t="s">
        <v>841</v>
      </c>
      <c r="F126" s="200" t="s">
        <v>842</v>
      </c>
      <c r="G126" s="107" t="s">
        <v>205</v>
      </c>
      <c r="H126" s="100" t="s">
        <v>510</v>
      </c>
      <c r="I126" s="100" t="s">
        <v>510</v>
      </c>
      <c r="J126" s="107" t="s">
        <v>336</v>
      </c>
      <c r="K126" s="100" t="s">
        <v>320</v>
      </c>
      <c r="L126" s="100" t="s">
        <v>362</v>
      </c>
      <c r="M126" s="100" t="s">
        <v>195</v>
      </c>
      <c r="N126" s="202" t="s">
        <v>843</v>
      </c>
      <c r="O126" s="100" t="s">
        <v>151</v>
      </c>
      <c r="P126" s="100" t="s">
        <v>844</v>
      </c>
      <c r="Q126" s="76" t="s">
        <v>325</v>
      </c>
      <c r="R126" s="100" t="s">
        <v>195</v>
      </c>
      <c r="S126" s="100" t="s">
        <v>413</v>
      </c>
      <c r="T126" s="100" t="s">
        <v>845</v>
      </c>
      <c r="U126" s="77" t="s">
        <v>329</v>
      </c>
      <c r="V126" s="77" t="s">
        <v>328</v>
      </c>
      <c r="W126" s="77" t="s">
        <v>329</v>
      </c>
      <c r="X126" s="77" t="s">
        <v>329</v>
      </c>
      <c r="Y126" s="77" t="s">
        <v>329</v>
      </c>
      <c r="Z126" s="77" t="s">
        <v>329</v>
      </c>
      <c r="AA126" s="77" t="s">
        <v>195</v>
      </c>
      <c r="AB126" s="77" t="s">
        <v>195</v>
      </c>
      <c r="AC126" s="138" t="s">
        <v>195</v>
      </c>
      <c r="AD126" s="77" t="s">
        <v>89</v>
      </c>
      <c r="AE126" s="78" t="s">
        <v>130</v>
      </c>
      <c r="AF126" s="136" t="str">
        <f t="shared" si="97"/>
        <v>BAJO</v>
      </c>
      <c r="AG126" s="78" t="s">
        <v>101</v>
      </c>
      <c r="AH126" s="136" t="str">
        <f t="shared" si="98"/>
        <v>BAJO</v>
      </c>
      <c r="AI126" s="78" t="s">
        <v>109</v>
      </c>
      <c r="AJ126" s="78" t="s">
        <v>124</v>
      </c>
      <c r="AK126" s="136" t="str">
        <f t="shared" si="99"/>
        <v>BAJO</v>
      </c>
      <c r="AL126" s="80" t="str">
        <f>VLOOKUP($AD126,[21]Tipologías!$B$3:$G$17,2,FALSE)</f>
        <v>BAJO</v>
      </c>
      <c r="AM126" s="80">
        <f t="shared" si="52"/>
        <v>1</v>
      </c>
      <c r="AN126" s="80" t="str">
        <f>VLOOKUP($AE126,[21]Tipologías!$A$21:$C$24,3,FALSE)</f>
        <v>BAJO</v>
      </c>
      <c r="AO126" s="80">
        <f t="shared" si="53"/>
        <v>1</v>
      </c>
      <c r="AP126" s="80">
        <f>VLOOKUP($AI126,[21]Tipologías!$A$38:$B$42,2,FALSE)</f>
        <v>0</v>
      </c>
      <c r="AQ126" s="80">
        <f>VLOOKUP($AJ126,[21]Tipologías!$A$46:$B$53,2,FALSE)</f>
        <v>0.25</v>
      </c>
      <c r="AR126" s="80" t="str">
        <f t="shared" si="100"/>
        <v>BAJO</v>
      </c>
      <c r="AS126" s="80" t="str">
        <f>VLOOKUP($AG126,[21]Tipologías!$A$29:$C$33,3,FALSE)</f>
        <v>BAJO</v>
      </c>
      <c r="AT126" s="80" t="str">
        <f t="shared" si="101"/>
        <v>BAJO</v>
      </c>
      <c r="AU126" s="80" t="str">
        <f t="shared" si="102"/>
        <v>BAJO</v>
      </c>
      <c r="AV126" s="80" t="str">
        <f>_xlfn.IFNA(VLOOKUP(AD126,[21]Tipologías!$B$3:$G$17,4,0),"")</f>
        <v>INFORMACIÓN PÚBLICA</v>
      </c>
      <c r="AW126" s="80" t="str">
        <f t="shared" si="103"/>
        <v>IPB</v>
      </c>
      <c r="AX126" s="80" t="str">
        <f>_xlfn.IFNA(VLOOKUP(AD126,[21]Tipologías!$B$3:$G$17,3,0),"")</f>
        <v>LEY 1712 DE 2014 LEY DE TRANSPARENCIA Y DERECHO DE ACCESO A LA INFORMACIÓN. ARTÍCULO 6 DEFINICIONES LITERAL B.</v>
      </c>
      <c r="AY126" s="80" t="str">
        <f>_xlfn.IFNA(VLOOKUP(AD126,[21]Tipologías!$B$3:$G$17,5,0),"")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6" s="80" t="str">
        <f>_xlfn.IFNA(VLOOKUP(AD126,[21]Tipologías!$B$3:$G$17,6,0),"")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6" s="76"/>
      <c r="BB126" s="215">
        <v>45105</v>
      </c>
      <c r="BC126" s="76" t="s">
        <v>195</v>
      </c>
      <c r="BD126" s="78" t="s">
        <v>854</v>
      </c>
      <c r="BE126" s="78" t="s">
        <v>855</v>
      </c>
      <c r="BF126" s="45"/>
      <c r="BG126" s="45"/>
      <c r="BH126" s="45"/>
      <c r="BI126" s="45"/>
      <c r="BJ126" s="45"/>
      <c r="BK126" s="45"/>
      <c r="BL126" s="45"/>
      <c r="BM126" s="45"/>
      <c r="BN126" s="45"/>
      <c r="BO126" s="45"/>
      <c r="BP126" s="45"/>
      <c r="BQ126" s="45"/>
      <c r="BR126" s="45"/>
      <c r="BS126" s="45"/>
      <c r="BT126" s="45"/>
      <c r="BU126" s="45"/>
      <c r="BV126" s="45"/>
      <c r="BW126" s="45"/>
      <c r="BX126" s="45"/>
    </row>
    <row r="127" spans="1:76" s="67" customFormat="1" ht="207.2" customHeight="1" x14ac:dyDescent="0.2">
      <c r="A127" s="76">
        <v>118</v>
      </c>
      <c r="B127" s="107" t="s">
        <v>62</v>
      </c>
      <c r="C127" s="107" t="s">
        <v>162</v>
      </c>
      <c r="D127" s="100" t="s">
        <v>278</v>
      </c>
      <c r="E127" s="199" t="s">
        <v>846</v>
      </c>
      <c r="F127" s="200" t="s">
        <v>847</v>
      </c>
      <c r="G127" s="107" t="s">
        <v>205</v>
      </c>
      <c r="H127" s="100" t="s">
        <v>510</v>
      </c>
      <c r="I127" s="100" t="s">
        <v>510</v>
      </c>
      <c r="J127" s="107" t="s">
        <v>336</v>
      </c>
      <c r="K127" s="100" t="s">
        <v>320</v>
      </c>
      <c r="L127" s="100" t="s">
        <v>321</v>
      </c>
      <c r="M127" s="100" t="s">
        <v>195</v>
      </c>
      <c r="N127" s="202" t="s">
        <v>843</v>
      </c>
      <c r="O127" s="100" t="s">
        <v>151</v>
      </c>
      <c r="P127" s="100" t="s">
        <v>844</v>
      </c>
      <c r="Q127" s="76" t="s">
        <v>325</v>
      </c>
      <c r="R127" s="100" t="s">
        <v>195</v>
      </c>
      <c r="S127" s="100" t="s">
        <v>848</v>
      </c>
      <c r="T127" s="100" t="s">
        <v>848</v>
      </c>
      <c r="U127" s="77" t="s">
        <v>329</v>
      </c>
      <c r="V127" s="77" t="s">
        <v>328</v>
      </c>
      <c r="W127" s="77" t="s">
        <v>329</v>
      </c>
      <c r="X127" s="77" t="s">
        <v>329</v>
      </c>
      <c r="Y127" s="77" t="s">
        <v>329</v>
      </c>
      <c r="Z127" s="77" t="s">
        <v>329</v>
      </c>
      <c r="AA127" s="77" t="s">
        <v>195</v>
      </c>
      <c r="AB127" s="77" t="s">
        <v>195</v>
      </c>
      <c r="AC127" s="138" t="s">
        <v>195</v>
      </c>
      <c r="AD127" s="77" t="s">
        <v>89</v>
      </c>
      <c r="AE127" s="78" t="s">
        <v>130</v>
      </c>
      <c r="AF127" s="136" t="str">
        <f t="shared" si="97"/>
        <v>BAJO</v>
      </c>
      <c r="AG127" s="78" t="s">
        <v>101</v>
      </c>
      <c r="AH127" s="136" t="str">
        <f t="shared" si="98"/>
        <v>BAJO</v>
      </c>
      <c r="AI127" s="78" t="s">
        <v>111</v>
      </c>
      <c r="AJ127" s="78" t="s">
        <v>124</v>
      </c>
      <c r="AK127" s="136" t="str">
        <f t="shared" si="99"/>
        <v>BAJO</v>
      </c>
      <c r="AL127" s="80" t="str">
        <f>VLOOKUP($AD127,[21]Tipologías!$B$3:$G$17,2,FALSE)</f>
        <v>BAJO</v>
      </c>
      <c r="AM127" s="80">
        <f t="shared" si="52"/>
        <v>1</v>
      </c>
      <c r="AN127" s="80" t="str">
        <f>VLOOKUP($AE127,[21]Tipologías!$A$21:$C$24,3,FALSE)</f>
        <v>BAJO</v>
      </c>
      <c r="AO127" s="80">
        <f t="shared" si="53"/>
        <v>1</v>
      </c>
      <c r="AP127" s="80">
        <f>VLOOKUP($AI127,[21]Tipologías!$A$38:$B$42,2,FALSE)</f>
        <v>0.5</v>
      </c>
      <c r="AQ127" s="80">
        <f>VLOOKUP($AJ127,[21]Tipologías!$A$46:$B$53,2,FALSE)</f>
        <v>0.25</v>
      </c>
      <c r="AR127" s="80" t="str">
        <f t="shared" si="100"/>
        <v>BAJO</v>
      </c>
      <c r="AS127" s="80" t="str">
        <f>VLOOKUP($AG127,[21]Tipologías!$A$29:$C$33,3,FALSE)</f>
        <v>BAJO</v>
      </c>
      <c r="AT127" s="80" t="str">
        <f t="shared" si="101"/>
        <v>BAJO</v>
      </c>
      <c r="AU127" s="80" t="str">
        <f t="shared" si="102"/>
        <v>BAJO</v>
      </c>
      <c r="AV127" s="80" t="str">
        <f>_xlfn.IFNA(VLOOKUP(AD127,[21]Tipologías!$B$3:$G$17,4,0),"")</f>
        <v>INFORMACIÓN PÚBLICA</v>
      </c>
      <c r="AW127" s="80" t="str">
        <f t="shared" si="103"/>
        <v>IPB</v>
      </c>
      <c r="AX127" s="80" t="str">
        <f>_xlfn.IFNA(VLOOKUP(AD127,[21]Tipologías!$B$3:$G$17,3,0),"")</f>
        <v>LEY 1712 DE 2014 LEY DE TRANSPARENCIA Y DERECHO DE ACCESO A LA INFORMACIÓN. ARTÍCULO 6 DEFINICIONES LITERAL B.</v>
      </c>
      <c r="AY127" s="80" t="str">
        <f>_xlfn.IFNA(VLOOKUP(AD127,[21]Tipologías!$B$3:$G$17,5,0),"")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7" s="80" t="str">
        <f>_xlfn.IFNA(VLOOKUP(AD127,[21]Tipologías!$B$3:$G$17,6,0),"")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7" s="76"/>
      <c r="BB127" s="215">
        <v>45105</v>
      </c>
      <c r="BC127" s="76" t="s">
        <v>195</v>
      </c>
      <c r="BD127" s="78" t="s">
        <v>854</v>
      </c>
      <c r="BE127" s="78" t="s">
        <v>855</v>
      </c>
      <c r="BF127" s="45"/>
      <c r="BG127" s="45"/>
      <c r="BH127" s="45"/>
      <c r="BI127" s="45"/>
      <c r="BJ127" s="45"/>
      <c r="BK127" s="45"/>
      <c r="BL127" s="45"/>
      <c r="BM127" s="45"/>
      <c r="BN127" s="45"/>
      <c r="BO127" s="45"/>
      <c r="BP127" s="45"/>
      <c r="BQ127" s="45"/>
      <c r="BR127" s="45"/>
      <c r="BS127" s="45"/>
      <c r="BT127" s="45"/>
      <c r="BU127" s="45"/>
      <c r="BV127" s="45"/>
      <c r="BW127" s="45"/>
      <c r="BX127" s="45"/>
    </row>
    <row r="128" spans="1:76" s="67" customFormat="1" ht="207.2" customHeight="1" x14ac:dyDescent="0.2">
      <c r="A128" s="76">
        <v>119</v>
      </c>
      <c r="B128" s="107" t="s">
        <v>62</v>
      </c>
      <c r="C128" s="107" t="s">
        <v>162</v>
      </c>
      <c r="D128" s="100" t="s">
        <v>278</v>
      </c>
      <c r="E128" s="199" t="s">
        <v>849</v>
      </c>
      <c r="F128" s="200" t="s">
        <v>850</v>
      </c>
      <c r="G128" s="107" t="s">
        <v>205</v>
      </c>
      <c r="H128" s="100" t="s">
        <v>510</v>
      </c>
      <c r="I128" s="100" t="s">
        <v>510</v>
      </c>
      <c r="J128" s="107" t="s">
        <v>336</v>
      </c>
      <c r="K128" s="100" t="s">
        <v>320</v>
      </c>
      <c r="L128" s="100" t="s">
        <v>362</v>
      </c>
      <c r="M128" s="100" t="s">
        <v>195</v>
      </c>
      <c r="N128" s="202" t="s">
        <v>843</v>
      </c>
      <c r="O128" s="100" t="s">
        <v>151</v>
      </c>
      <c r="P128" s="100" t="s">
        <v>540</v>
      </c>
      <c r="Q128" s="76" t="s">
        <v>325</v>
      </c>
      <c r="R128" s="100" t="s">
        <v>195</v>
      </c>
      <c r="S128" s="100" t="s">
        <v>650</v>
      </c>
      <c r="T128" s="100" t="s">
        <v>851</v>
      </c>
      <c r="U128" s="77" t="s">
        <v>329</v>
      </c>
      <c r="V128" s="77" t="s">
        <v>328</v>
      </c>
      <c r="W128" s="77" t="s">
        <v>329</v>
      </c>
      <c r="X128" s="77" t="s">
        <v>329</v>
      </c>
      <c r="Y128" s="77" t="s">
        <v>329</v>
      </c>
      <c r="Z128" s="77" t="s">
        <v>329</v>
      </c>
      <c r="AA128" s="77" t="s">
        <v>195</v>
      </c>
      <c r="AB128" s="77" t="s">
        <v>195</v>
      </c>
      <c r="AC128" s="138" t="s">
        <v>195</v>
      </c>
      <c r="AD128" s="77" t="s">
        <v>89</v>
      </c>
      <c r="AE128" s="78" t="s">
        <v>130</v>
      </c>
      <c r="AF128" s="136" t="str">
        <f t="shared" si="97"/>
        <v>BAJO</v>
      </c>
      <c r="AG128" s="78" t="s">
        <v>101</v>
      </c>
      <c r="AH128" s="136" t="str">
        <f t="shared" si="98"/>
        <v>BAJO</v>
      </c>
      <c r="AI128" s="78" t="s">
        <v>109</v>
      </c>
      <c r="AJ128" s="78" t="s">
        <v>124</v>
      </c>
      <c r="AK128" s="136" t="str">
        <f t="shared" si="99"/>
        <v>BAJO</v>
      </c>
      <c r="AL128" s="80" t="str">
        <f>VLOOKUP($AD128,[21]Tipologías!$B$3:$G$17,2,FALSE)</f>
        <v>BAJO</v>
      </c>
      <c r="AM128" s="80">
        <f t="shared" si="52"/>
        <v>1</v>
      </c>
      <c r="AN128" s="80" t="str">
        <f>VLOOKUP($AE128,[21]Tipologías!$A$21:$C$24,3,FALSE)</f>
        <v>BAJO</v>
      </c>
      <c r="AO128" s="80">
        <f t="shared" si="53"/>
        <v>1</v>
      </c>
      <c r="AP128" s="80">
        <f>VLOOKUP($AI128,[21]Tipologías!$A$38:$B$42,2,FALSE)</f>
        <v>0</v>
      </c>
      <c r="AQ128" s="80">
        <f>VLOOKUP($AJ128,[21]Tipologías!$A$46:$B$53,2,FALSE)</f>
        <v>0.25</v>
      </c>
      <c r="AR128" s="80" t="str">
        <f t="shared" si="100"/>
        <v>BAJO</v>
      </c>
      <c r="AS128" s="80" t="str">
        <f>VLOOKUP($AG128,[21]Tipologías!$A$29:$C$33,3,FALSE)</f>
        <v>BAJO</v>
      </c>
      <c r="AT128" s="80" t="str">
        <f t="shared" si="101"/>
        <v>BAJO</v>
      </c>
      <c r="AU128" s="80" t="str">
        <f t="shared" si="102"/>
        <v>BAJO</v>
      </c>
      <c r="AV128" s="80" t="str">
        <f>_xlfn.IFNA(VLOOKUP(AD128,[21]Tipologías!$B$3:$G$17,4,0),"")</f>
        <v>INFORMACIÓN PÚBLICA</v>
      </c>
      <c r="AW128" s="80" t="str">
        <f t="shared" si="103"/>
        <v>IPB</v>
      </c>
      <c r="AX128" s="80" t="str">
        <f>_xlfn.IFNA(VLOOKUP(AD128,[21]Tipologías!$B$3:$G$17,3,0),"")</f>
        <v>LEY 1712 DE 2014 LEY DE TRANSPARENCIA Y DERECHO DE ACCESO A LA INFORMACIÓN. ARTÍCULO 6 DEFINICIONES LITERAL B.</v>
      </c>
      <c r="AY128" s="80" t="str">
        <f>_xlfn.IFNA(VLOOKUP(AD128,[21]Tipologías!$B$3:$G$17,5,0),"")</f>
        <v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28" s="80" t="str">
        <f>_xlfn.IFNA(VLOOKUP(AD128,[21]Tipologías!$B$3:$G$17,6,0),"")</f>
        <v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28" s="76"/>
      <c r="BB128" s="215">
        <v>45105</v>
      </c>
      <c r="BC128" s="76" t="s">
        <v>195</v>
      </c>
      <c r="BD128" s="78" t="s">
        <v>854</v>
      </c>
      <c r="BE128" s="78" t="s">
        <v>855</v>
      </c>
      <c r="BF128" s="45"/>
      <c r="BG128" s="45"/>
      <c r="BH128" s="45"/>
      <c r="BI128" s="45"/>
      <c r="BJ128" s="45"/>
      <c r="BK128" s="45"/>
      <c r="BL128" s="45"/>
      <c r="BM128" s="45"/>
      <c r="BN128" s="45"/>
      <c r="BO128" s="45"/>
      <c r="BP128" s="45"/>
      <c r="BQ128" s="45"/>
      <c r="BR128" s="45"/>
      <c r="BS128" s="45"/>
      <c r="BT128" s="45"/>
      <c r="BU128" s="45"/>
      <c r="BV128" s="45"/>
      <c r="BW128" s="45"/>
      <c r="BX128" s="45"/>
    </row>
    <row r="129" spans="1:64" ht="207.2" customHeight="1" thickBot="1" x14ac:dyDescent="0.25">
      <c r="A129" s="76">
        <v>120</v>
      </c>
      <c r="B129" s="107" t="s">
        <v>62</v>
      </c>
      <c r="C129" s="107" t="s">
        <v>162</v>
      </c>
      <c r="D129" s="100" t="s">
        <v>278</v>
      </c>
      <c r="E129" s="199" t="s">
        <v>852</v>
      </c>
      <c r="F129" s="200" t="s">
        <v>853</v>
      </c>
      <c r="G129" s="107" t="s">
        <v>140</v>
      </c>
      <c r="H129" s="100" t="s">
        <v>510</v>
      </c>
      <c r="I129" s="100" t="s">
        <v>830</v>
      </c>
      <c r="J129" s="107" t="s">
        <v>336</v>
      </c>
      <c r="K129" s="100" t="s">
        <v>320</v>
      </c>
      <c r="L129" s="100" t="s">
        <v>321</v>
      </c>
      <c r="M129" s="100" t="s">
        <v>195</v>
      </c>
      <c r="N129" s="100" t="s">
        <v>835</v>
      </c>
      <c r="O129" s="100" t="s">
        <v>151</v>
      </c>
      <c r="P129" s="100" t="s">
        <v>838</v>
      </c>
      <c r="Q129" s="76" t="s">
        <v>325</v>
      </c>
      <c r="R129" s="76" t="s">
        <v>325</v>
      </c>
      <c r="S129" s="100" t="s">
        <v>195</v>
      </c>
      <c r="T129" s="100" t="s">
        <v>195</v>
      </c>
      <c r="U129" s="77" t="s">
        <v>195</v>
      </c>
      <c r="V129" s="77" t="s">
        <v>195</v>
      </c>
      <c r="W129" s="77" t="s">
        <v>195</v>
      </c>
      <c r="X129" s="77" t="s">
        <v>195</v>
      </c>
      <c r="Y129" s="77" t="s">
        <v>195</v>
      </c>
      <c r="Z129" s="77" t="s">
        <v>195</v>
      </c>
      <c r="AA129" s="77" t="s">
        <v>195</v>
      </c>
      <c r="AB129" s="77" t="s">
        <v>195</v>
      </c>
      <c r="AC129" s="138" t="s">
        <v>195</v>
      </c>
      <c r="AD129" s="77" t="s">
        <v>208</v>
      </c>
      <c r="AE129" s="78" t="s">
        <v>132</v>
      </c>
      <c r="AF129" s="136" t="str">
        <f t="shared" si="97"/>
        <v>ALTO</v>
      </c>
      <c r="AG129" s="78" t="s">
        <v>104</v>
      </c>
      <c r="AH129" s="136" t="str">
        <f t="shared" si="98"/>
        <v>ALTO</v>
      </c>
      <c r="AI129" s="78" t="s">
        <v>114</v>
      </c>
      <c r="AJ129" s="78" t="s">
        <v>119</v>
      </c>
      <c r="AK129" s="136" t="str">
        <f t="shared" si="99"/>
        <v>ALTO</v>
      </c>
      <c r="AL129" s="80" t="str">
        <f>VLOOKUP($AD129,[21]Tipologías!$B$3:$G$17,2,FALSE)</f>
        <v>ALTO</v>
      </c>
      <c r="AM129" s="80">
        <f t="shared" si="52"/>
        <v>3</v>
      </c>
      <c r="AN129" s="80" t="str">
        <f>VLOOKUP($AE129,[21]Tipologías!$A$21:$C$24,3,FALSE)</f>
        <v>MEDIO</v>
      </c>
      <c r="AO129" s="80">
        <f t="shared" si="53"/>
        <v>2</v>
      </c>
      <c r="AP129" s="80">
        <f>VLOOKUP($AI129,[21]Tipologías!$A$38:$B$42,2,FALSE)</f>
        <v>1.5</v>
      </c>
      <c r="AQ129" s="80">
        <f>VLOOKUP($AJ129,[21]Tipologías!$A$46:$B$53,2,FALSE)</f>
        <v>2</v>
      </c>
      <c r="AR129" s="80" t="str">
        <f t="shared" si="100"/>
        <v>ALTO</v>
      </c>
      <c r="AS129" s="80" t="str">
        <f>VLOOKUP($AG129,[21]Tipologías!$A$29:$C$33,3,FALSE)</f>
        <v>ALTO</v>
      </c>
      <c r="AT129" s="80" t="str">
        <f t="shared" si="101"/>
        <v>ALTO</v>
      </c>
      <c r="AU129" s="80" t="str">
        <f t="shared" si="102"/>
        <v>ALTO</v>
      </c>
      <c r="AV129" s="80" t="str">
        <f>_xlfn.IFNA(VLOOKUP(AD129,[21]Tipologías!$B$3:$G$17,4,0),"")</f>
        <v>INFORMACIÓN PÚBLICA CLASIFICADA</v>
      </c>
      <c r="AW129" s="80" t="str">
        <f t="shared" si="103"/>
        <v>IPC</v>
      </c>
      <c r="AX129" s="80" t="str">
        <f>_xlfn.IFNA(VLOOKUP(AD129,[21]Tipologías!$B$3:$G$17,3,0),"")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9" s="80" t="str">
        <f>_xlfn.IFNA(VLOOKUP(AD129,[21]Tipologías!$B$3:$G$17,5,0),"")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9" s="80" t="str">
        <f>_xlfn.IFNA(VLOOKUP(AD129,[21]Tipologías!$B$3:$G$17,6,0),"")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9" s="77" t="s">
        <v>197</v>
      </c>
      <c r="BB129" s="215">
        <v>45105</v>
      </c>
      <c r="BC129" s="76" t="s">
        <v>201</v>
      </c>
      <c r="BD129" s="78" t="s">
        <v>854</v>
      </c>
      <c r="BE129" s="78" t="s">
        <v>855</v>
      </c>
      <c r="BF129" s="231"/>
      <c r="BG129" s="231"/>
      <c r="BH129" s="69"/>
      <c r="BI129" s="69"/>
      <c r="BJ129" s="221"/>
      <c r="BK129" s="221"/>
      <c r="BL129" s="45"/>
    </row>
    <row r="130" spans="1:64" ht="28.5" customHeight="1" x14ac:dyDescent="0.2">
      <c r="A130" s="237"/>
      <c r="B130" s="238"/>
      <c r="C130" s="239"/>
      <c r="D130" s="240"/>
      <c r="E130" s="241"/>
      <c r="F130" s="241"/>
      <c r="G130" s="241"/>
      <c r="H130" s="241"/>
      <c r="I130" s="241"/>
      <c r="J130" s="241"/>
      <c r="K130" s="241"/>
      <c r="L130" s="241"/>
      <c r="M130" s="241"/>
      <c r="N130" s="241"/>
      <c r="O130" s="241"/>
      <c r="P130" s="241"/>
      <c r="Q130" s="241"/>
      <c r="R130" s="241"/>
      <c r="S130" s="243"/>
      <c r="T130" s="243"/>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45"/>
      <c r="AW130" s="221"/>
      <c r="AX130" s="221"/>
      <c r="AY130" s="45"/>
      <c r="AZ130" s="208"/>
      <c r="BA130" s="208"/>
      <c r="BB130" s="208"/>
      <c r="BC130" s="208"/>
      <c r="BD130" s="45"/>
      <c r="BE130" s="45"/>
      <c r="BF130" s="221"/>
      <c r="BG130" s="221"/>
      <c r="BH130" s="45"/>
      <c r="BI130" s="45"/>
      <c r="BJ130" s="221"/>
      <c r="BK130" s="221"/>
      <c r="BL130" s="45"/>
    </row>
    <row r="131" spans="1:64" ht="28.5" customHeight="1" x14ac:dyDescent="0.2">
      <c r="A131" s="227"/>
      <c r="B131" s="228"/>
      <c r="C131" s="229"/>
      <c r="D131" s="225"/>
      <c r="E131" s="225"/>
      <c r="F131" s="225"/>
      <c r="G131" s="225"/>
      <c r="H131" s="225"/>
      <c r="I131" s="225"/>
      <c r="J131" s="225"/>
      <c r="K131" s="225"/>
      <c r="L131" s="225"/>
      <c r="M131" s="225"/>
      <c r="N131" s="225"/>
      <c r="O131" s="225"/>
      <c r="P131" s="225"/>
      <c r="Q131" s="225"/>
      <c r="R131" s="225"/>
      <c r="S131" s="226"/>
      <c r="T131" s="226"/>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45"/>
      <c r="AW131" s="221"/>
      <c r="AX131" s="221"/>
      <c r="AY131" s="45"/>
      <c r="AZ131" s="208"/>
      <c r="BA131" s="208"/>
      <c r="BB131" s="208"/>
      <c r="BC131" s="208"/>
      <c r="BD131" s="45"/>
      <c r="BE131" s="45"/>
      <c r="BF131" s="221"/>
      <c r="BG131" s="221"/>
      <c r="BH131" s="45"/>
      <c r="BI131" s="45"/>
      <c r="BJ131" s="221"/>
      <c r="BK131" s="221"/>
      <c r="BL131" s="45"/>
    </row>
    <row r="132" spans="1:64" ht="12.75" customHeight="1" x14ac:dyDescent="0.2">
      <c r="A132" s="227"/>
      <c r="B132" s="228"/>
      <c r="C132" s="229"/>
      <c r="D132" s="225"/>
      <c r="E132" s="225"/>
      <c r="F132" s="225"/>
      <c r="G132" s="225"/>
      <c r="H132" s="225"/>
      <c r="I132" s="225"/>
      <c r="J132" s="225"/>
      <c r="K132" s="225"/>
      <c r="L132" s="225"/>
      <c r="M132" s="225"/>
      <c r="N132" s="225"/>
      <c r="O132" s="225"/>
      <c r="P132" s="225"/>
      <c r="Q132" s="225"/>
      <c r="R132" s="225"/>
      <c r="S132" s="226"/>
      <c r="T132" s="226"/>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45"/>
      <c r="AW132" s="221"/>
      <c r="AX132" s="221"/>
      <c r="AY132" s="45"/>
      <c r="AZ132" s="208"/>
      <c r="BA132" s="208"/>
      <c r="BB132" s="208"/>
      <c r="BC132" s="208"/>
      <c r="BD132" s="45"/>
      <c r="BE132" s="45"/>
      <c r="BF132" s="221"/>
      <c r="BG132" s="221"/>
      <c r="BH132" s="45"/>
      <c r="BI132" s="45"/>
      <c r="BJ132" s="221"/>
      <c r="BK132" s="221"/>
      <c r="BL132" s="45"/>
    </row>
    <row r="133" spans="1:64" ht="22.5" customHeight="1" thickBot="1" x14ac:dyDescent="0.25">
      <c r="A133" s="222"/>
      <c r="B133" s="223"/>
      <c r="C133" s="224"/>
      <c r="D133" s="225"/>
      <c r="E133" s="225"/>
      <c r="F133" s="225"/>
      <c r="G133" s="225"/>
      <c r="H133" s="225"/>
      <c r="I133" s="225"/>
      <c r="J133" s="225"/>
      <c r="K133" s="225"/>
      <c r="L133" s="225"/>
      <c r="M133" s="225"/>
      <c r="N133" s="225"/>
      <c r="O133" s="225"/>
      <c r="P133" s="225"/>
      <c r="Q133" s="225"/>
      <c r="R133" s="225"/>
      <c r="S133" s="226"/>
      <c r="T133" s="226"/>
      <c r="U133" s="62"/>
      <c r="V133" s="62"/>
      <c r="W133" s="62"/>
      <c r="X133" s="62"/>
      <c r="Y133" s="62"/>
      <c r="Z133" s="62"/>
      <c r="AA133" s="62"/>
      <c r="AB133" s="62"/>
      <c r="AC133" s="62"/>
      <c r="AD133" s="165"/>
      <c r="AE133" s="165"/>
      <c r="AF133" s="62"/>
      <c r="AG133" s="62"/>
      <c r="AH133" s="62"/>
      <c r="AI133" s="62"/>
      <c r="AJ133" s="62"/>
      <c r="AK133" s="62"/>
      <c r="AL133" s="62"/>
      <c r="AM133" s="62"/>
      <c r="AN133" s="62"/>
      <c r="AO133" s="62"/>
      <c r="AP133" s="62"/>
      <c r="AQ133" s="62"/>
      <c r="AR133" s="62"/>
      <c r="AS133" s="62"/>
      <c r="AT133" s="62"/>
      <c r="AU133" s="208"/>
      <c r="AV133" s="45"/>
      <c r="AW133" s="221"/>
      <c r="AX133" s="221"/>
      <c r="AY133" s="45"/>
      <c r="AZ133" s="208"/>
      <c r="BA133" s="208"/>
      <c r="BB133" s="208"/>
      <c r="BC133" s="208"/>
      <c r="BD133" s="45"/>
      <c r="BE133" s="45"/>
      <c r="BF133" s="221"/>
      <c r="BG133" s="221"/>
      <c r="BH133" s="45"/>
      <c r="BI133" s="45"/>
      <c r="BJ133" s="221"/>
      <c r="BK133" s="221"/>
      <c r="BL133" s="45"/>
    </row>
    <row r="134" spans="1:64" ht="15.75" x14ac:dyDescent="0.2">
      <c r="A134" s="45"/>
      <c r="B134" s="45"/>
      <c r="C134" s="61"/>
      <c r="D134" s="208"/>
      <c r="E134" s="208"/>
      <c r="F134" s="45"/>
      <c r="G134" s="45"/>
      <c r="H134" s="45"/>
      <c r="I134" s="45"/>
      <c r="J134" s="208"/>
      <c r="K134" s="208"/>
      <c r="L134" s="45"/>
      <c r="M134" s="45"/>
      <c r="N134" s="45"/>
      <c r="O134" s="45"/>
      <c r="P134" s="208"/>
      <c r="Q134" s="211"/>
      <c r="R134" s="211"/>
      <c r="S134" s="211"/>
      <c r="T134" s="211"/>
      <c r="U134" s="45"/>
      <c r="V134" s="45"/>
      <c r="W134" s="45"/>
      <c r="X134" s="45"/>
      <c r="Y134" s="45"/>
      <c r="Z134" s="45"/>
      <c r="AA134" s="45"/>
      <c r="AB134" s="45"/>
      <c r="AC134" s="45"/>
      <c r="AF134" s="70"/>
      <c r="AG134" s="45"/>
      <c r="AH134" s="45"/>
      <c r="AI134" s="45"/>
      <c r="AJ134" s="45"/>
      <c r="AK134" s="45"/>
      <c r="AL134" s="45"/>
      <c r="AM134" s="45"/>
      <c r="AN134" s="45"/>
      <c r="AO134" s="45"/>
      <c r="AP134" s="45"/>
      <c r="AQ134" s="45"/>
      <c r="AR134" s="45"/>
      <c r="AS134" s="45"/>
      <c r="AT134" s="45"/>
      <c r="AU134" s="208"/>
      <c r="AV134" s="45"/>
      <c r="AW134" s="221"/>
      <c r="AX134" s="221"/>
      <c r="AY134" s="45"/>
      <c r="AZ134" s="208"/>
      <c r="BA134" s="208"/>
      <c r="BB134" s="208"/>
      <c r="BC134" s="208"/>
      <c r="BD134" s="45"/>
      <c r="BE134" s="45"/>
      <c r="BF134" s="221"/>
      <c r="BG134" s="221"/>
      <c r="BH134" s="45"/>
      <c r="BI134" s="45"/>
      <c r="BJ134" s="221"/>
      <c r="BK134" s="221"/>
      <c r="BL134" s="45"/>
    </row>
    <row r="135" spans="1:64" ht="15.75" x14ac:dyDescent="0.2">
      <c r="A135" s="45"/>
      <c r="B135" s="45"/>
      <c r="C135" s="61"/>
      <c r="D135" s="208"/>
      <c r="E135" s="208"/>
      <c r="F135" s="45"/>
      <c r="G135" s="45"/>
      <c r="H135" s="45"/>
      <c r="I135" s="45"/>
      <c r="J135" s="208"/>
      <c r="K135" s="208"/>
      <c r="L135" s="45"/>
      <c r="M135" s="45"/>
      <c r="N135" s="45"/>
      <c r="O135" s="45"/>
      <c r="P135" s="208"/>
      <c r="Q135" s="211"/>
      <c r="R135" s="211"/>
      <c r="S135" s="211"/>
      <c r="T135" s="211"/>
      <c r="U135" s="45"/>
      <c r="V135" s="45"/>
      <c r="W135" s="45"/>
      <c r="X135" s="45"/>
      <c r="Y135" s="45"/>
      <c r="Z135" s="45"/>
      <c r="AA135" s="45"/>
      <c r="AB135" s="45"/>
      <c r="AC135" s="45"/>
      <c r="AF135" s="70"/>
      <c r="AG135" s="45"/>
      <c r="AH135" s="45"/>
      <c r="AI135" s="45"/>
      <c r="AJ135" s="45"/>
      <c r="AK135" s="45"/>
      <c r="AL135" s="45"/>
      <c r="AM135" s="45"/>
      <c r="AN135" s="45"/>
      <c r="AO135" s="45"/>
      <c r="AP135" s="45"/>
      <c r="AQ135" s="45"/>
      <c r="AR135" s="45"/>
      <c r="AS135" s="45"/>
      <c r="AT135" s="45"/>
      <c r="AU135" s="208"/>
      <c r="AV135" s="45"/>
      <c r="AW135" s="221"/>
      <c r="AX135" s="221"/>
      <c r="AY135" s="45"/>
      <c r="AZ135" s="208"/>
      <c r="BA135" s="208"/>
      <c r="BB135" s="208"/>
      <c r="BC135" s="208"/>
      <c r="BD135" s="45"/>
      <c r="BE135" s="45"/>
      <c r="BF135" s="221"/>
      <c r="BG135" s="221"/>
      <c r="BH135" s="45"/>
      <c r="BI135" s="45"/>
      <c r="BJ135" s="221"/>
      <c r="BK135" s="221"/>
      <c r="BL135" s="45"/>
    </row>
    <row r="136" spans="1:64" ht="15.75" x14ac:dyDescent="0.2">
      <c r="A136" s="45"/>
      <c r="B136" s="45"/>
      <c r="C136" s="61"/>
      <c r="D136" s="208"/>
      <c r="E136" s="208"/>
      <c r="F136" s="45"/>
      <c r="G136" s="45"/>
      <c r="H136" s="45"/>
      <c r="I136" s="45"/>
      <c r="J136" s="208"/>
      <c r="K136" s="208"/>
      <c r="L136" s="45"/>
      <c r="M136" s="45"/>
      <c r="N136" s="45"/>
      <c r="O136" s="45"/>
      <c r="P136" s="208"/>
      <c r="Q136" s="211"/>
      <c r="R136" s="211"/>
      <c r="S136" s="211"/>
      <c r="T136" s="211"/>
      <c r="U136" s="45"/>
      <c r="V136" s="45"/>
      <c r="W136" s="45"/>
      <c r="X136" s="45"/>
      <c r="Y136" s="45"/>
      <c r="Z136" s="45"/>
      <c r="AA136" s="45"/>
      <c r="AB136" s="45"/>
      <c r="AC136" s="45"/>
      <c r="AF136" s="70"/>
      <c r="AG136" s="45"/>
      <c r="AH136" s="45"/>
      <c r="AI136" s="45"/>
      <c r="AJ136" s="45"/>
      <c r="AK136" s="45"/>
      <c r="AL136" s="45"/>
      <c r="AM136" s="45"/>
      <c r="AN136" s="45"/>
      <c r="AO136" s="45"/>
      <c r="AP136" s="45"/>
      <c r="AQ136" s="45"/>
      <c r="AR136" s="45"/>
      <c r="AS136" s="45"/>
      <c r="AT136" s="45"/>
      <c r="AU136" s="208"/>
      <c r="AV136" s="45"/>
      <c r="AW136" s="221"/>
      <c r="AX136" s="221"/>
      <c r="AY136" s="45"/>
      <c r="AZ136" s="208"/>
      <c r="BA136" s="208"/>
      <c r="BB136" s="208"/>
      <c r="BC136" s="208"/>
      <c r="BD136" s="45"/>
      <c r="BE136" s="45"/>
      <c r="BF136" s="221"/>
      <c r="BG136" s="221"/>
      <c r="BH136" s="45"/>
      <c r="BI136" s="45"/>
      <c r="BJ136" s="221"/>
      <c r="BK136" s="221"/>
      <c r="BL136" s="45"/>
    </row>
    <row r="137" spans="1:64" ht="15.75" x14ac:dyDescent="0.2">
      <c r="A137" s="45"/>
      <c r="B137" s="45"/>
      <c r="C137" s="61"/>
      <c r="D137" s="208"/>
      <c r="E137" s="208"/>
      <c r="F137" s="45"/>
      <c r="G137" s="45"/>
      <c r="H137" s="45"/>
      <c r="I137" s="45"/>
      <c r="J137" s="208"/>
      <c r="K137" s="208"/>
      <c r="L137" s="45"/>
      <c r="M137" s="45"/>
      <c r="N137" s="45"/>
      <c r="O137" s="45"/>
      <c r="P137" s="208"/>
      <c r="Q137" s="211"/>
      <c r="R137" s="211"/>
      <c r="S137" s="211"/>
      <c r="T137" s="211"/>
      <c r="U137" s="45"/>
      <c r="V137" s="45"/>
      <c r="W137" s="45"/>
      <c r="X137" s="45"/>
      <c r="Y137" s="45"/>
      <c r="Z137" s="45"/>
      <c r="AA137" s="45"/>
      <c r="AB137" s="45"/>
      <c r="AC137" s="45"/>
      <c r="AF137" s="70"/>
      <c r="AG137" s="45"/>
      <c r="AH137" s="45"/>
      <c r="AI137" s="45"/>
      <c r="AJ137" s="45"/>
      <c r="AK137" s="45"/>
      <c r="AL137" s="45"/>
      <c r="AM137" s="45"/>
      <c r="AN137" s="45"/>
      <c r="AO137" s="45"/>
      <c r="AP137" s="45"/>
      <c r="AQ137" s="45"/>
      <c r="AR137" s="45"/>
      <c r="AS137" s="45"/>
      <c r="AT137" s="45"/>
      <c r="AU137" s="208"/>
      <c r="AV137" s="45"/>
      <c r="AW137" s="221"/>
      <c r="AX137" s="221"/>
      <c r="AY137" s="45"/>
      <c r="AZ137" s="208"/>
      <c r="BA137" s="208"/>
      <c r="BB137" s="208"/>
      <c r="BC137" s="208"/>
      <c r="BD137" s="45"/>
      <c r="BE137" s="45"/>
      <c r="BF137" s="221"/>
      <c r="BG137" s="221"/>
      <c r="BH137" s="45"/>
      <c r="BI137" s="45"/>
      <c r="BJ137" s="221"/>
      <c r="BK137" s="221"/>
      <c r="BL137" s="45"/>
    </row>
    <row r="138" spans="1:64" ht="15.75" x14ac:dyDescent="0.2">
      <c r="A138" s="45"/>
      <c r="B138" s="45"/>
      <c r="C138" s="61"/>
      <c r="D138" s="208"/>
      <c r="E138" s="208"/>
      <c r="F138" s="45"/>
      <c r="G138" s="45"/>
      <c r="H138" s="45"/>
      <c r="I138" s="45"/>
      <c r="J138" s="208"/>
      <c r="K138" s="208"/>
      <c r="L138" s="45"/>
      <c r="M138" s="45"/>
      <c r="N138" s="45"/>
      <c r="O138" s="45"/>
      <c r="P138" s="208"/>
      <c r="Q138" s="211"/>
      <c r="R138" s="211"/>
      <c r="S138" s="211"/>
      <c r="T138" s="211"/>
      <c r="U138" s="45"/>
      <c r="V138" s="45"/>
      <c r="W138" s="45"/>
      <c r="X138" s="45"/>
      <c r="Y138" s="45"/>
      <c r="Z138" s="45"/>
      <c r="AA138" s="45"/>
      <c r="AB138" s="45"/>
      <c r="AC138" s="45"/>
      <c r="AF138" s="70"/>
      <c r="AG138" s="45"/>
      <c r="AH138" s="45"/>
      <c r="AI138" s="45"/>
      <c r="AJ138" s="45"/>
      <c r="AK138" s="45"/>
      <c r="AL138" s="45"/>
      <c r="AM138" s="45"/>
      <c r="AN138" s="45"/>
      <c r="AO138" s="45"/>
      <c r="AP138" s="45"/>
      <c r="AQ138" s="45"/>
      <c r="AR138" s="45"/>
      <c r="AS138" s="45"/>
      <c r="AT138" s="45"/>
      <c r="AU138" s="208"/>
      <c r="AV138" s="45"/>
      <c r="AW138" s="221"/>
      <c r="AX138" s="221"/>
      <c r="AY138" s="45"/>
      <c r="AZ138" s="208"/>
      <c r="BA138" s="208"/>
      <c r="BB138" s="208"/>
      <c r="BC138" s="208"/>
      <c r="BD138" s="45"/>
      <c r="BE138" s="45"/>
      <c r="BF138" s="221"/>
      <c r="BG138" s="221"/>
      <c r="BH138" s="45"/>
      <c r="BI138" s="45"/>
      <c r="BJ138" s="221"/>
      <c r="BK138" s="221"/>
      <c r="BL138" s="45"/>
    </row>
    <row r="139" spans="1:64" ht="15.75" x14ac:dyDescent="0.2">
      <c r="AF139" s="70"/>
    </row>
    <row r="140" spans="1:64" ht="15.75" x14ac:dyDescent="0.2">
      <c r="AF140" s="70"/>
    </row>
    <row r="141" spans="1:64" ht="15.75" x14ac:dyDescent="0.2">
      <c r="AF141" s="70"/>
    </row>
    <row r="142" spans="1:64" ht="15.75" x14ac:dyDescent="0.2">
      <c r="AF142" s="70"/>
    </row>
    <row r="143" spans="1:64" ht="15.75" x14ac:dyDescent="0.2">
      <c r="AF143" s="70"/>
    </row>
    <row r="144" spans="1:64" ht="15.75" x14ac:dyDescent="0.2">
      <c r="AF144" s="70"/>
    </row>
    <row r="145" spans="32:32" ht="15.75" x14ac:dyDescent="0.2">
      <c r="AF145" s="70"/>
    </row>
    <row r="146" spans="32:32" ht="15.75" x14ac:dyDescent="0.2">
      <c r="AF146" s="70"/>
    </row>
    <row r="147" spans="32:32" ht="15.75" x14ac:dyDescent="0.2">
      <c r="AF147" s="70"/>
    </row>
    <row r="148" spans="32:32" ht="15.75" x14ac:dyDescent="0.2">
      <c r="AF148" s="70"/>
    </row>
    <row r="149" spans="32:32" ht="15.75" x14ac:dyDescent="0.2">
      <c r="AF149" s="70"/>
    </row>
    <row r="150" spans="32:32" ht="15.75" x14ac:dyDescent="0.2">
      <c r="AF150" s="70"/>
    </row>
    <row r="151" spans="32:32" ht="15.75" x14ac:dyDescent="0.2">
      <c r="AF151" s="70"/>
    </row>
    <row r="152" spans="32:32" ht="15.75" x14ac:dyDescent="0.2">
      <c r="AF152" s="70"/>
    </row>
    <row r="153" spans="32:32" ht="15.75" x14ac:dyDescent="0.2">
      <c r="AF153" s="70"/>
    </row>
    <row r="154" spans="32:32" ht="15.75" x14ac:dyDescent="0.2">
      <c r="AF154" s="70"/>
    </row>
    <row r="155" spans="32:32" ht="15.75" x14ac:dyDescent="0.2">
      <c r="AF155" s="70"/>
    </row>
    <row r="156" spans="32:32" ht="15.75" x14ac:dyDescent="0.2">
      <c r="AF156" s="70"/>
    </row>
    <row r="157" spans="32:32" ht="15.75" x14ac:dyDescent="0.2">
      <c r="AF157" s="70"/>
    </row>
    <row r="158" spans="32:32" ht="15.75" x14ac:dyDescent="0.2">
      <c r="AF158" s="70"/>
    </row>
    <row r="159" spans="32:32" ht="15.75" x14ac:dyDescent="0.2">
      <c r="AF159" s="70"/>
    </row>
    <row r="160" spans="32:32" ht="15.75" x14ac:dyDescent="0.2">
      <c r="AF160" s="70"/>
    </row>
    <row r="161" spans="32:32" ht="15.75" x14ac:dyDescent="0.2">
      <c r="AF161" s="70"/>
    </row>
    <row r="162" spans="32:32" ht="15.75" x14ac:dyDescent="0.2">
      <c r="AF162" s="70"/>
    </row>
    <row r="163" spans="32:32" ht="15.75" x14ac:dyDescent="0.2">
      <c r="AF163" s="70"/>
    </row>
    <row r="164" spans="32:32" ht="15.75" x14ac:dyDescent="0.2">
      <c r="AF164" s="70"/>
    </row>
    <row r="165" spans="32:32" ht="15.75" x14ac:dyDescent="0.2">
      <c r="AF165" s="70"/>
    </row>
    <row r="166" spans="32:32" ht="15.75" x14ac:dyDescent="0.2">
      <c r="AF166" s="70"/>
    </row>
    <row r="167" spans="32:32" ht="15.75" x14ac:dyDescent="0.2">
      <c r="AF167" s="70"/>
    </row>
    <row r="168" spans="32:32" ht="15.75" x14ac:dyDescent="0.2">
      <c r="AF168" s="70"/>
    </row>
    <row r="169" spans="32:32" ht="15.75" x14ac:dyDescent="0.2">
      <c r="AF169" s="70"/>
    </row>
    <row r="170" spans="32:32" ht="15.75" x14ac:dyDescent="0.2">
      <c r="AF170" s="70"/>
    </row>
    <row r="171" spans="32:32" ht="15.75" x14ac:dyDescent="0.2">
      <c r="AF171" s="70"/>
    </row>
    <row r="172" spans="32:32" ht="15.75" x14ac:dyDescent="0.2">
      <c r="AF172" s="70"/>
    </row>
    <row r="173" spans="32:32" ht="15.75" x14ac:dyDescent="0.2">
      <c r="AF173" s="70"/>
    </row>
    <row r="174" spans="32:32" ht="15.75" x14ac:dyDescent="0.2">
      <c r="AF174" s="70"/>
    </row>
    <row r="175" spans="32:32" ht="15.75" x14ac:dyDescent="0.2">
      <c r="AF175" s="70"/>
    </row>
    <row r="176" spans="32:32" ht="15.75" x14ac:dyDescent="0.2">
      <c r="AF176" s="70"/>
    </row>
    <row r="177" spans="32:32" ht="15.75" x14ac:dyDescent="0.2">
      <c r="AF177" s="70"/>
    </row>
    <row r="178" spans="32:32" ht="15.75" x14ac:dyDescent="0.2">
      <c r="AF178" s="70"/>
    </row>
    <row r="179" spans="32:32" ht="15.75" x14ac:dyDescent="0.2">
      <c r="AF179" s="70"/>
    </row>
    <row r="180" spans="32:32" ht="15.75" x14ac:dyDescent="0.2">
      <c r="AF180" s="70"/>
    </row>
    <row r="181" spans="32:32" ht="15.75" x14ac:dyDescent="0.2">
      <c r="AF181" s="70"/>
    </row>
    <row r="182" spans="32:32" ht="15.75" x14ac:dyDescent="0.2">
      <c r="AF182" s="70"/>
    </row>
    <row r="183" spans="32:32" ht="15.75" x14ac:dyDescent="0.2">
      <c r="AF183" s="70"/>
    </row>
    <row r="184" spans="32:32" ht="15.75" x14ac:dyDescent="0.2">
      <c r="AF184" s="70"/>
    </row>
    <row r="185" spans="32:32" ht="15.75" x14ac:dyDescent="0.2">
      <c r="AF185" s="70"/>
    </row>
    <row r="186" spans="32:32" ht="15.75" x14ac:dyDescent="0.2">
      <c r="AF186" s="70"/>
    </row>
    <row r="187" spans="32:32" ht="15.75" x14ac:dyDescent="0.2">
      <c r="AF187" s="70"/>
    </row>
    <row r="188" spans="32:32" ht="15.75" x14ac:dyDescent="0.2">
      <c r="AF188" s="70"/>
    </row>
    <row r="189" spans="32:32" ht="15.75" x14ac:dyDescent="0.2">
      <c r="AF189" s="70"/>
    </row>
    <row r="190" spans="32:32" ht="15.75" x14ac:dyDescent="0.2">
      <c r="AF190" s="70"/>
    </row>
    <row r="191" spans="32:32" ht="15.75" x14ac:dyDescent="0.2">
      <c r="AF191" s="70"/>
    </row>
    <row r="192" spans="32:32" ht="15.75" x14ac:dyDescent="0.2">
      <c r="AF192" s="70"/>
    </row>
    <row r="193" spans="32:32" ht="15.75" x14ac:dyDescent="0.2">
      <c r="AF193" s="70"/>
    </row>
    <row r="194" spans="32:32" ht="15.75" x14ac:dyDescent="0.2">
      <c r="AF194" s="70"/>
    </row>
    <row r="195" spans="32:32" ht="15.75" x14ac:dyDescent="0.2">
      <c r="AF195" s="70"/>
    </row>
    <row r="196" spans="32:32" ht="15.75" x14ac:dyDescent="0.2">
      <c r="AF196" s="70"/>
    </row>
    <row r="197" spans="32:32" ht="15.75" x14ac:dyDescent="0.2">
      <c r="AF197" s="70"/>
    </row>
    <row r="198" spans="32:32" ht="15.75" x14ac:dyDescent="0.2">
      <c r="AF198" s="70"/>
    </row>
    <row r="199" spans="32:32" ht="15.75" x14ac:dyDescent="0.2">
      <c r="AF199" s="70"/>
    </row>
    <row r="200" spans="32:32" ht="15.75" x14ac:dyDescent="0.2">
      <c r="AF200" s="70"/>
    </row>
    <row r="201" spans="32:32" ht="15.75" x14ac:dyDescent="0.2">
      <c r="AF201" s="70"/>
    </row>
    <row r="202" spans="32:32" ht="15.75" x14ac:dyDescent="0.2">
      <c r="AF202" s="70"/>
    </row>
    <row r="203" spans="32:32" ht="15.75" x14ac:dyDescent="0.2">
      <c r="AF203" s="70"/>
    </row>
    <row r="204" spans="32:32" ht="15.75" x14ac:dyDescent="0.2">
      <c r="AF204" s="70"/>
    </row>
    <row r="205" spans="32:32" ht="15.75" x14ac:dyDescent="0.2">
      <c r="AF205" s="70"/>
    </row>
    <row r="206" spans="32:32" ht="15.75" x14ac:dyDescent="0.2">
      <c r="AF206" s="70"/>
    </row>
    <row r="207" spans="32:32" ht="15.75" x14ac:dyDescent="0.2">
      <c r="AF207" s="70"/>
    </row>
    <row r="208" spans="32:32" ht="15.75" x14ac:dyDescent="0.2">
      <c r="AF208" s="70"/>
    </row>
    <row r="209" spans="32:32" ht="15.75" x14ac:dyDescent="0.2">
      <c r="AF209" s="70"/>
    </row>
    <row r="210" spans="32:32" ht="15.75" x14ac:dyDescent="0.2">
      <c r="AF210" s="70"/>
    </row>
    <row r="211" spans="32:32" ht="15.75" x14ac:dyDescent="0.2">
      <c r="AF211" s="70"/>
    </row>
    <row r="212" spans="32:32" ht="15.75" x14ac:dyDescent="0.2">
      <c r="AF212" s="70"/>
    </row>
    <row r="213" spans="32:32" ht="15.75" x14ac:dyDescent="0.2">
      <c r="AF213" s="70"/>
    </row>
    <row r="214" spans="32:32" ht="15.75" x14ac:dyDescent="0.2">
      <c r="AF214" s="70"/>
    </row>
    <row r="215" spans="32:32" ht="15.75" x14ac:dyDescent="0.2">
      <c r="AF215" s="70"/>
    </row>
    <row r="216" spans="32:32" ht="15.75" x14ac:dyDescent="0.2">
      <c r="AF216" s="70"/>
    </row>
    <row r="217" spans="32:32" ht="15.75" x14ac:dyDescent="0.2">
      <c r="AF217" s="70"/>
    </row>
    <row r="218" spans="32:32" ht="15.75" x14ac:dyDescent="0.2">
      <c r="AF218" s="70"/>
    </row>
    <row r="219" spans="32:32" ht="15.75" x14ac:dyDescent="0.2">
      <c r="AF219" s="70"/>
    </row>
    <row r="220" spans="32:32" ht="15.75" x14ac:dyDescent="0.2">
      <c r="AF220" s="70"/>
    </row>
    <row r="221" spans="32:32" ht="15.75" x14ac:dyDescent="0.2">
      <c r="AF221" s="70"/>
    </row>
    <row r="222" spans="32:32" ht="15.75" x14ac:dyDescent="0.2">
      <c r="AF222" s="70"/>
    </row>
    <row r="223" spans="32:32" ht="15.75" x14ac:dyDescent="0.2">
      <c r="AF223" s="70"/>
    </row>
    <row r="224" spans="32:32" ht="15.75" x14ac:dyDescent="0.2">
      <c r="AF224" s="70"/>
    </row>
    <row r="225" spans="32:32" ht="15.75" x14ac:dyDescent="0.2">
      <c r="AF225" s="70"/>
    </row>
    <row r="226" spans="32:32" ht="15.75" x14ac:dyDescent="0.2">
      <c r="AF226" s="70"/>
    </row>
    <row r="227" spans="32:32" ht="15.75" x14ac:dyDescent="0.2">
      <c r="AF227" s="70"/>
    </row>
    <row r="228" spans="32:32" ht="15.75" x14ac:dyDescent="0.2">
      <c r="AF228" s="70"/>
    </row>
    <row r="229" spans="32:32" ht="15.75" x14ac:dyDescent="0.2">
      <c r="AF229" s="70"/>
    </row>
    <row r="230" spans="32:32" ht="15.75" x14ac:dyDescent="0.2">
      <c r="AF230" s="70"/>
    </row>
    <row r="231" spans="32:32" ht="15.75" x14ac:dyDescent="0.2">
      <c r="AF231" s="70"/>
    </row>
    <row r="232" spans="32:32" ht="15.75" x14ac:dyDescent="0.2">
      <c r="AF232" s="70"/>
    </row>
    <row r="233" spans="32:32" ht="15.75" x14ac:dyDescent="0.2">
      <c r="AF233" s="70"/>
    </row>
    <row r="234" spans="32:32" ht="15.75" x14ac:dyDescent="0.2">
      <c r="AF234" s="70"/>
    </row>
    <row r="235" spans="32:32" ht="15.75" x14ac:dyDescent="0.2">
      <c r="AF235" s="70"/>
    </row>
    <row r="236" spans="32:32" ht="15.75" x14ac:dyDescent="0.2">
      <c r="AF236" s="70"/>
    </row>
    <row r="237" spans="32:32" ht="15.75" x14ac:dyDescent="0.2">
      <c r="AF237" s="70"/>
    </row>
    <row r="238" spans="32:32" ht="15.75" x14ac:dyDescent="0.2">
      <c r="AF238" s="70"/>
    </row>
    <row r="239" spans="32:32" ht="15.75" x14ac:dyDescent="0.2">
      <c r="AF239" s="70"/>
    </row>
    <row r="240" spans="32:32" ht="15.75" x14ac:dyDescent="0.2">
      <c r="AF240" s="70"/>
    </row>
    <row r="241" spans="32:32" ht="15.75" x14ac:dyDescent="0.2">
      <c r="AF241" s="70"/>
    </row>
    <row r="242" spans="32:32" ht="15.75" x14ac:dyDescent="0.2">
      <c r="AF242" s="70"/>
    </row>
    <row r="243" spans="32:32" ht="15.75" x14ac:dyDescent="0.2">
      <c r="AF243" s="70"/>
    </row>
    <row r="244" spans="32:32" ht="15.75" x14ac:dyDescent="0.2">
      <c r="AF244" s="70"/>
    </row>
    <row r="245" spans="32:32" ht="15.75" x14ac:dyDescent="0.2">
      <c r="AF245" s="70"/>
    </row>
    <row r="246" spans="32:32" ht="15.75" x14ac:dyDescent="0.2">
      <c r="AF246" s="70"/>
    </row>
    <row r="247" spans="32:32" ht="15.75" x14ac:dyDescent="0.2">
      <c r="AF247" s="70"/>
    </row>
    <row r="248" spans="32:32" ht="15.75" x14ac:dyDescent="0.2">
      <c r="AF248" s="70"/>
    </row>
    <row r="249" spans="32:32" ht="15.75" x14ac:dyDescent="0.2">
      <c r="AF249" s="70"/>
    </row>
    <row r="250" spans="32:32" ht="15.75" x14ac:dyDescent="0.2">
      <c r="AF250" s="70"/>
    </row>
    <row r="251" spans="32:32" ht="15.75" x14ac:dyDescent="0.2">
      <c r="AF251" s="70"/>
    </row>
    <row r="252" spans="32:32" ht="15.75" x14ac:dyDescent="0.2">
      <c r="AF252" s="70"/>
    </row>
    <row r="253" spans="32:32" ht="15.75" x14ac:dyDescent="0.2">
      <c r="AF253" s="70"/>
    </row>
    <row r="254" spans="32:32" ht="15.75" x14ac:dyDescent="0.2">
      <c r="AF254" s="70"/>
    </row>
    <row r="255" spans="32:32" ht="15.75" x14ac:dyDescent="0.2">
      <c r="AF255" s="70"/>
    </row>
    <row r="256" spans="32:32" ht="15.75" x14ac:dyDescent="0.2">
      <c r="AF256" s="70"/>
    </row>
    <row r="257" spans="32:32" ht="15.75" x14ac:dyDescent="0.2">
      <c r="AF257" s="70"/>
    </row>
    <row r="258" spans="32:32" ht="15.75" x14ac:dyDescent="0.2">
      <c r="AF258" s="70"/>
    </row>
    <row r="259" spans="32:32" ht="15.75" x14ac:dyDescent="0.2">
      <c r="AF259" s="70"/>
    </row>
    <row r="260" spans="32:32" ht="15.75" x14ac:dyDescent="0.2">
      <c r="AF260" s="70"/>
    </row>
    <row r="261" spans="32:32" ht="15.75" x14ac:dyDescent="0.2">
      <c r="AF261" s="70"/>
    </row>
    <row r="262" spans="32:32" ht="15.75" x14ac:dyDescent="0.2">
      <c r="AF262" s="70"/>
    </row>
    <row r="263" spans="32:32" ht="15.75" x14ac:dyDescent="0.2">
      <c r="AF263" s="70"/>
    </row>
    <row r="264" spans="32:32" ht="15.75" x14ac:dyDescent="0.2">
      <c r="AF264" s="70"/>
    </row>
    <row r="265" spans="32:32" ht="15.75" x14ac:dyDescent="0.2">
      <c r="AF265" s="70"/>
    </row>
    <row r="266" spans="32:32" ht="15.75" x14ac:dyDescent="0.2">
      <c r="AF266" s="70"/>
    </row>
    <row r="267" spans="32:32" ht="15.75" x14ac:dyDescent="0.2">
      <c r="AF267" s="70"/>
    </row>
    <row r="268" spans="32:32" ht="15.75" x14ac:dyDescent="0.2">
      <c r="AF268" s="70"/>
    </row>
    <row r="269" spans="32:32" ht="15.75" x14ac:dyDescent="0.2">
      <c r="AF269" s="70"/>
    </row>
    <row r="270" spans="32:32" ht="15.75" x14ac:dyDescent="0.2">
      <c r="AF270" s="70"/>
    </row>
    <row r="271" spans="32:32" ht="15.75" x14ac:dyDescent="0.2">
      <c r="AF271" s="70"/>
    </row>
    <row r="272" spans="32:32" ht="15.75" x14ac:dyDescent="0.2">
      <c r="AF272" s="70"/>
    </row>
    <row r="273" spans="32:32" ht="15.75" x14ac:dyDescent="0.2">
      <c r="AF273" s="70"/>
    </row>
    <row r="274" spans="32:32" ht="15.75" x14ac:dyDescent="0.2">
      <c r="AF274" s="70"/>
    </row>
    <row r="275" spans="32:32" ht="15.75" x14ac:dyDescent="0.2">
      <c r="AF275" s="70"/>
    </row>
    <row r="276" spans="32:32" ht="15.75" x14ac:dyDescent="0.2">
      <c r="AF276" s="70"/>
    </row>
    <row r="277" spans="32:32" ht="15.75" x14ac:dyDescent="0.2">
      <c r="AF277" s="70"/>
    </row>
    <row r="278" spans="32:32" ht="15.75" x14ac:dyDescent="0.2">
      <c r="AF278" s="70"/>
    </row>
    <row r="279" spans="32:32" ht="15.75" x14ac:dyDescent="0.2">
      <c r="AF279" s="70"/>
    </row>
    <row r="280" spans="32:32" ht="15.75" x14ac:dyDescent="0.2">
      <c r="AF280" s="70"/>
    </row>
    <row r="281" spans="32:32" ht="15.75" x14ac:dyDescent="0.2">
      <c r="AF281" s="70"/>
    </row>
    <row r="282" spans="32:32" ht="15.75" x14ac:dyDescent="0.2">
      <c r="AF282" s="70"/>
    </row>
    <row r="283" spans="32:32" ht="15.75" x14ac:dyDescent="0.2">
      <c r="AF283" s="70"/>
    </row>
    <row r="284" spans="32:32" ht="15.75" x14ac:dyDescent="0.2">
      <c r="AF284" s="70"/>
    </row>
    <row r="285" spans="32:32" ht="15.75" x14ac:dyDescent="0.2">
      <c r="AF285" s="70"/>
    </row>
    <row r="286" spans="32:32" ht="15.75" x14ac:dyDescent="0.2">
      <c r="AF286" s="70"/>
    </row>
    <row r="287" spans="32:32" ht="15.75" x14ac:dyDescent="0.2">
      <c r="AF287" s="70"/>
    </row>
    <row r="288" spans="32:32" ht="15.75" x14ac:dyDescent="0.2">
      <c r="AF288" s="70"/>
    </row>
    <row r="289" spans="32:32" ht="15.75" x14ac:dyDescent="0.2">
      <c r="AF289" s="70"/>
    </row>
    <row r="290" spans="32:32" ht="15.75" x14ac:dyDescent="0.2">
      <c r="AF290" s="70"/>
    </row>
    <row r="291" spans="32:32" ht="15.75" x14ac:dyDescent="0.2">
      <c r="AF291" s="70"/>
    </row>
    <row r="292" spans="32:32" ht="15.75" x14ac:dyDescent="0.2">
      <c r="AF292" s="70"/>
    </row>
    <row r="293" spans="32:32" ht="15.75" x14ac:dyDescent="0.2">
      <c r="AF293" s="70"/>
    </row>
    <row r="294" spans="32:32" ht="15.75" x14ac:dyDescent="0.2">
      <c r="AF294" s="70"/>
    </row>
    <row r="295" spans="32:32" ht="15.75" x14ac:dyDescent="0.2">
      <c r="AF295" s="70"/>
    </row>
    <row r="296" spans="32:32" ht="15.75" x14ac:dyDescent="0.2">
      <c r="AF296" s="70"/>
    </row>
    <row r="297" spans="32:32" ht="15.75" x14ac:dyDescent="0.2">
      <c r="AF297" s="70"/>
    </row>
    <row r="298" spans="32:32" ht="15.75" x14ac:dyDescent="0.2">
      <c r="AF298" s="70"/>
    </row>
    <row r="299" spans="32:32" ht="15.75" x14ac:dyDescent="0.2">
      <c r="AF299" s="70"/>
    </row>
    <row r="300" spans="32:32" ht="15.75" x14ac:dyDescent="0.2">
      <c r="AF300" s="70"/>
    </row>
    <row r="301" spans="32:32" ht="15.75" x14ac:dyDescent="0.2">
      <c r="AF301" s="70"/>
    </row>
    <row r="302" spans="32:32" ht="15.75" x14ac:dyDescent="0.2">
      <c r="AF302" s="70"/>
    </row>
    <row r="303" spans="32:32" ht="15.75" x14ac:dyDescent="0.2">
      <c r="AF303" s="70"/>
    </row>
    <row r="304" spans="32:32" ht="15.75" x14ac:dyDescent="0.2">
      <c r="AF304" s="70"/>
    </row>
    <row r="305" spans="32:32" ht="15.75" x14ac:dyDescent="0.2">
      <c r="AF305" s="70"/>
    </row>
    <row r="306" spans="32:32" ht="15.75" x14ac:dyDescent="0.2">
      <c r="AF306" s="70"/>
    </row>
    <row r="307" spans="32:32" ht="15.75" x14ac:dyDescent="0.2">
      <c r="AF307" s="70"/>
    </row>
    <row r="308" spans="32:32" ht="15.75" x14ac:dyDescent="0.2">
      <c r="AF308" s="70"/>
    </row>
    <row r="309" spans="32:32" ht="15.75" x14ac:dyDescent="0.2">
      <c r="AF309" s="70"/>
    </row>
    <row r="310" spans="32:32" ht="15.75" x14ac:dyDescent="0.2">
      <c r="AF310" s="70"/>
    </row>
    <row r="311" spans="32:32" ht="15.75" x14ac:dyDescent="0.2">
      <c r="AF311" s="70"/>
    </row>
    <row r="312" spans="32:32" ht="15.75" x14ac:dyDescent="0.2">
      <c r="AF312" s="70"/>
    </row>
    <row r="313" spans="32:32" ht="15.75" x14ac:dyDescent="0.2">
      <c r="AF313" s="70"/>
    </row>
    <row r="314" spans="32:32" ht="15.75" x14ac:dyDescent="0.2">
      <c r="AF314" s="70"/>
    </row>
    <row r="315" spans="32:32" ht="15.75" x14ac:dyDescent="0.2">
      <c r="AF315" s="70"/>
    </row>
    <row r="316" spans="32:32" ht="15.75" x14ac:dyDescent="0.2">
      <c r="AF316" s="70"/>
    </row>
    <row r="317" spans="32:32" ht="15.75" x14ac:dyDescent="0.2">
      <c r="AF317" s="70"/>
    </row>
    <row r="318" spans="32:32" ht="15.75" x14ac:dyDescent="0.2">
      <c r="AF318" s="70"/>
    </row>
    <row r="319" spans="32:32" ht="15.75" x14ac:dyDescent="0.2">
      <c r="AF319" s="70"/>
    </row>
    <row r="320" spans="32:32" ht="15.75" x14ac:dyDescent="0.2">
      <c r="AF320" s="70"/>
    </row>
    <row r="321" spans="32:32" ht="15.75" x14ac:dyDescent="0.2">
      <c r="AF321" s="70"/>
    </row>
    <row r="322" spans="32:32" ht="15.75" x14ac:dyDescent="0.2">
      <c r="AF322" s="70"/>
    </row>
    <row r="323" spans="32:32" ht="15.75" x14ac:dyDescent="0.2">
      <c r="AF323" s="70"/>
    </row>
    <row r="324" spans="32:32" ht="15.75" x14ac:dyDescent="0.2">
      <c r="AF324" s="70"/>
    </row>
    <row r="325" spans="32:32" ht="15.75" x14ac:dyDescent="0.2">
      <c r="AF325" s="70"/>
    </row>
    <row r="326" spans="32:32" ht="15.75" x14ac:dyDescent="0.2">
      <c r="AF326" s="70"/>
    </row>
    <row r="327" spans="32:32" ht="15.75" x14ac:dyDescent="0.2">
      <c r="AF327" s="70"/>
    </row>
    <row r="328" spans="32:32" ht="15.75" x14ac:dyDescent="0.2">
      <c r="AF328" s="70"/>
    </row>
    <row r="329" spans="32:32" ht="15.75" x14ac:dyDescent="0.2">
      <c r="AF329" s="70"/>
    </row>
    <row r="330" spans="32:32" ht="15.75" x14ac:dyDescent="0.2">
      <c r="AF330" s="70"/>
    </row>
    <row r="331" spans="32:32" ht="15.75" x14ac:dyDescent="0.2">
      <c r="AF331" s="70"/>
    </row>
    <row r="332" spans="32:32" ht="15.75" x14ac:dyDescent="0.2">
      <c r="AF332" s="70"/>
    </row>
    <row r="333" spans="32:32" ht="15.75" x14ac:dyDescent="0.2">
      <c r="AF333" s="70"/>
    </row>
    <row r="334" spans="32:32" ht="15.75" x14ac:dyDescent="0.2">
      <c r="AF334" s="70"/>
    </row>
    <row r="335" spans="32:32" ht="15.75" x14ac:dyDescent="0.2">
      <c r="AF335" s="70"/>
    </row>
    <row r="336" spans="32:32" ht="15.75" x14ac:dyDescent="0.2">
      <c r="AF336" s="70"/>
    </row>
    <row r="337" spans="32:32" ht="15.75" x14ac:dyDescent="0.2">
      <c r="AF337" s="70"/>
    </row>
    <row r="338" spans="32:32" ht="15.75" x14ac:dyDescent="0.2">
      <c r="AF338" s="70"/>
    </row>
    <row r="339" spans="32:32" ht="15.75" x14ac:dyDescent="0.2">
      <c r="AF339" s="70"/>
    </row>
    <row r="340" spans="32:32" ht="15.75" x14ac:dyDescent="0.2">
      <c r="AF340" s="70"/>
    </row>
    <row r="341" spans="32:32" ht="15.75" x14ac:dyDescent="0.2">
      <c r="AF341" s="70"/>
    </row>
    <row r="342" spans="32:32" ht="15.75" x14ac:dyDescent="0.2">
      <c r="AF342" s="70"/>
    </row>
    <row r="343" spans="32:32" ht="15.75" x14ac:dyDescent="0.2">
      <c r="AF343" s="70"/>
    </row>
    <row r="344" spans="32:32" ht="15.75" x14ac:dyDescent="0.2">
      <c r="AF344" s="70"/>
    </row>
    <row r="345" spans="32:32" ht="15.75" x14ac:dyDescent="0.2">
      <c r="AF345" s="70"/>
    </row>
    <row r="346" spans="32:32" ht="15.75" x14ac:dyDescent="0.2">
      <c r="AF346" s="70"/>
    </row>
    <row r="347" spans="32:32" ht="15.75" x14ac:dyDescent="0.2">
      <c r="AF347" s="70"/>
    </row>
    <row r="348" spans="32:32" ht="15.75" x14ac:dyDescent="0.2">
      <c r="AF348" s="70"/>
    </row>
    <row r="349" spans="32:32" ht="15.75" x14ac:dyDescent="0.2">
      <c r="AF349" s="70"/>
    </row>
    <row r="350" spans="32:32" ht="15.75" x14ac:dyDescent="0.2">
      <c r="AF350" s="70"/>
    </row>
    <row r="351" spans="32:32" ht="15.75" x14ac:dyDescent="0.2">
      <c r="AF351" s="70"/>
    </row>
    <row r="352" spans="32:32" ht="15.75" x14ac:dyDescent="0.2">
      <c r="AF352" s="70"/>
    </row>
    <row r="353" spans="32:32" ht="15.75" x14ac:dyDescent="0.2">
      <c r="AF353" s="70"/>
    </row>
    <row r="354" spans="32:32" ht="15.75" x14ac:dyDescent="0.2">
      <c r="AF354" s="70"/>
    </row>
    <row r="355" spans="32:32" ht="15.75" x14ac:dyDescent="0.2">
      <c r="AF355" s="70"/>
    </row>
    <row r="356" spans="32:32" ht="15.75" x14ac:dyDescent="0.2">
      <c r="AF356" s="70"/>
    </row>
    <row r="357" spans="32:32" ht="15.75" x14ac:dyDescent="0.2">
      <c r="AF357" s="70"/>
    </row>
    <row r="358" spans="32:32" ht="15.75" x14ac:dyDescent="0.2">
      <c r="AF358" s="70"/>
    </row>
    <row r="359" spans="32:32" ht="15.75" x14ac:dyDescent="0.2">
      <c r="AF359" s="70"/>
    </row>
    <row r="360" spans="32:32" ht="15.75" x14ac:dyDescent="0.2">
      <c r="AF360" s="70"/>
    </row>
    <row r="361" spans="32:32" ht="15.75" x14ac:dyDescent="0.2">
      <c r="AF361" s="70"/>
    </row>
    <row r="362" spans="32:32" ht="15.75" x14ac:dyDescent="0.2">
      <c r="AF362" s="70"/>
    </row>
    <row r="363" spans="32:32" ht="15.75" x14ac:dyDescent="0.2">
      <c r="AF363" s="70"/>
    </row>
    <row r="364" spans="32:32" ht="15.75" x14ac:dyDescent="0.2">
      <c r="AF364" s="70"/>
    </row>
    <row r="365" spans="32:32" ht="15.75" x14ac:dyDescent="0.2">
      <c r="AF365" s="70"/>
    </row>
    <row r="366" spans="32:32" ht="15.75" x14ac:dyDescent="0.2">
      <c r="AF366" s="70"/>
    </row>
    <row r="367" spans="32:32" ht="15.75" x14ac:dyDescent="0.2">
      <c r="AF367" s="70"/>
    </row>
    <row r="368" spans="32:32" ht="15.75" x14ac:dyDescent="0.2">
      <c r="AF368" s="70"/>
    </row>
    <row r="369" spans="32:32" ht="15.75" x14ac:dyDescent="0.2">
      <c r="AF369" s="70"/>
    </row>
    <row r="370" spans="32:32" ht="15.75" x14ac:dyDescent="0.2">
      <c r="AF370" s="70"/>
    </row>
    <row r="371" spans="32:32" ht="15.75" x14ac:dyDescent="0.2">
      <c r="AF371" s="70"/>
    </row>
    <row r="372" spans="32:32" ht="15.75" x14ac:dyDescent="0.2">
      <c r="AF372" s="70"/>
    </row>
    <row r="373" spans="32:32" ht="15.75" x14ac:dyDescent="0.2">
      <c r="AF373" s="70"/>
    </row>
    <row r="374" spans="32:32" ht="15.75" x14ac:dyDescent="0.2">
      <c r="AF374" s="70"/>
    </row>
    <row r="375" spans="32:32" ht="15.75" x14ac:dyDescent="0.2">
      <c r="AF375" s="70"/>
    </row>
    <row r="376" spans="32:32" ht="15.75" x14ac:dyDescent="0.2">
      <c r="AF376" s="70"/>
    </row>
    <row r="377" spans="32:32" ht="15.75" x14ac:dyDescent="0.2">
      <c r="AF377" s="70"/>
    </row>
    <row r="378" spans="32:32" ht="15.75" x14ac:dyDescent="0.2">
      <c r="AF378" s="70"/>
    </row>
    <row r="379" spans="32:32" ht="15.75" x14ac:dyDescent="0.2">
      <c r="AF379" s="70"/>
    </row>
    <row r="380" spans="32:32" ht="15.75" x14ac:dyDescent="0.2">
      <c r="AF380" s="70"/>
    </row>
    <row r="381" spans="32:32" ht="15.75" x14ac:dyDescent="0.2">
      <c r="AF381" s="70"/>
    </row>
    <row r="382" spans="32:32" ht="15.75" x14ac:dyDescent="0.2">
      <c r="AF382" s="70"/>
    </row>
    <row r="383" spans="32:32" ht="15.75" x14ac:dyDescent="0.2">
      <c r="AF383" s="70"/>
    </row>
    <row r="384" spans="32:32" ht="15.75" x14ac:dyDescent="0.2">
      <c r="AF384" s="70"/>
    </row>
    <row r="385" spans="32:32" ht="15.75" x14ac:dyDescent="0.2">
      <c r="AF385" s="70"/>
    </row>
    <row r="386" spans="32:32" ht="15.75" x14ac:dyDescent="0.2">
      <c r="AF386" s="70"/>
    </row>
    <row r="387" spans="32:32" ht="15.75" x14ac:dyDescent="0.2">
      <c r="AF387" s="70"/>
    </row>
    <row r="388" spans="32:32" ht="15.75" x14ac:dyDescent="0.2">
      <c r="AF388" s="70"/>
    </row>
    <row r="389" spans="32:32" ht="15.75" x14ac:dyDescent="0.2">
      <c r="AF389" s="70"/>
    </row>
    <row r="390" spans="32:32" ht="15.75" x14ac:dyDescent="0.2">
      <c r="AF390" s="70"/>
    </row>
    <row r="391" spans="32:32" ht="15.75" x14ac:dyDescent="0.2">
      <c r="AF391" s="70"/>
    </row>
    <row r="392" spans="32:32" ht="15.75" x14ac:dyDescent="0.2">
      <c r="AF392" s="70"/>
    </row>
    <row r="393" spans="32:32" ht="15.75" x14ac:dyDescent="0.2">
      <c r="AF393" s="70"/>
    </row>
    <row r="394" spans="32:32" ht="15.75" x14ac:dyDescent="0.2">
      <c r="AF394" s="70"/>
    </row>
    <row r="395" spans="32:32" ht="15.75" x14ac:dyDescent="0.2">
      <c r="AF395" s="70"/>
    </row>
    <row r="396" spans="32:32" ht="15.75" x14ac:dyDescent="0.2">
      <c r="AF396" s="70"/>
    </row>
    <row r="397" spans="32:32" ht="15.75" x14ac:dyDescent="0.2">
      <c r="AF397" s="70"/>
    </row>
    <row r="398" spans="32:32" ht="15.75" x14ac:dyDescent="0.2">
      <c r="AF398" s="70"/>
    </row>
    <row r="399" spans="32:32" ht="15.75" x14ac:dyDescent="0.2">
      <c r="AF399" s="70"/>
    </row>
    <row r="400" spans="32:32" ht="15.75" x14ac:dyDescent="0.2">
      <c r="AF400" s="70"/>
    </row>
    <row r="401" spans="32:32" ht="15.75" x14ac:dyDescent="0.2">
      <c r="AF401" s="70"/>
    </row>
    <row r="402" spans="32:32" ht="15.75" x14ac:dyDescent="0.2">
      <c r="AF402" s="70"/>
    </row>
    <row r="403" spans="32:32" ht="15.75" x14ac:dyDescent="0.2">
      <c r="AF403" s="70"/>
    </row>
    <row r="404" spans="32:32" ht="15.75" x14ac:dyDescent="0.2">
      <c r="AF404" s="48"/>
    </row>
    <row r="405" spans="32:32" x14ac:dyDescent="0.2">
      <c r="AF405" s="49"/>
    </row>
    <row r="410" spans="32:32" x14ac:dyDescent="0.2">
      <c r="AF410" s="45"/>
    </row>
    <row r="411" spans="32:32" x14ac:dyDescent="0.2">
      <c r="AF411" s="45"/>
    </row>
    <row r="412" spans="32:32" x14ac:dyDescent="0.2">
      <c r="AF412" s="45"/>
    </row>
    <row r="413" spans="32:32" x14ac:dyDescent="0.2">
      <c r="AF413" s="45"/>
    </row>
    <row r="414" spans="32:32" x14ac:dyDescent="0.2">
      <c r="AF414" s="45"/>
    </row>
  </sheetData>
  <sheetProtection insertRows="0" deleteRows="0"/>
  <protectedRanges>
    <protectedRange sqref="F95" name="Rango1_1_27_7"/>
    <protectedRange sqref="F96" name="Rango1_1_27_8"/>
  </protectedRanges>
  <autoFilter ref="A9:BE133" xr:uid="{00000000-0009-0000-0000-000000000000}"/>
  <mergeCells count="87">
    <mergeCell ref="S131:T131"/>
    <mergeCell ref="U131:AU131"/>
    <mergeCell ref="AW7:AX7"/>
    <mergeCell ref="A2:BE5"/>
    <mergeCell ref="A130:C130"/>
    <mergeCell ref="A131:C131"/>
    <mergeCell ref="D130:R130"/>
    <mergeCell ref="D131:R131"/>
    <mergeCell ref="AJ8:BE8"/>
    <mergeCell ref="U8:AB8"/>
    <mergeCell ref="AD8:AI8"/>
    <mergeCell ref="AW131:AX131"/>
    <mergeCell ref="U130:AU130"/>
    <mergeCell ref="AW130:AX130"/>
    <mergeCell ref="AW6:AX6"/>
    <mergeCell ref="S130:T130"/>
    <mergeCell ref="BF1:BG1"/>
    <mergeCell ref="BJ1:BK1"/>
    <mergeCell ref="BF2:BG2"/>
    <mergeCell ref="BJ2:BK2"/>
    <mergeCell ref="AW1:AX1"/>
    <mergeCell ref="BF3:BG3"/>
    <mergeCell ref="BJ3:BK3"/>
    <mergeCell ref="BF4:BG4"/>
    <mergeCell ref="BJ4:BK4"/>
    <mergeCell ref="BF5:BG5"/>
    <mergeCell ref="BJ5:BK5"/>
    <mergeCell ref="BF6:BG6"/>
    <mergeCell ref="BJ6:BK6"/>
    <mergeCell ref="BF7:BG7"/>
    <mergeCell ref="BJ7:BK7"/>
    <mergeCell ref="BT9:BT15"/>
    <mergeCell ref="BU9:BU15"/>
    <mergeCell ref="A8:F8"/>
    <mergeCell ref="H8:I8"/>
    <mergeCell ref="J8:P8"/>
    <mergeCell ref="Q8:R8"/>
    <mergeCell ref="S8:T8"/>
    <mergeCell ref="BF8:BG8"/>
    <mergeCell ref="BJ8:BK8"/>
    <mergeCell ref="BG9:BH15"/>
    <mergeCell ref="BI9:BJ15"/>
    <mergeCell ref="BF9:BF15"/>
    <mergeCell ref="BF131:BG131"/>
    <mergeCell ref="BJ131:BK131"/>
    <mergeCell ref="BX9:BX15"/>
    <mergeCell ref="BM9:BM15"/>
    <mergeCell ref="BL9:BL15"/>
    <mergeCell ref="BK9:BK15"/>
    <mergeCell ref="BN9:BN15"/>
    <mergeCell ref="BO9:BO15"/>
    <mergeCell ref="BP9:BP15"/>
    <mergeCell ref="BQ9:BQ15"/>
    <mergeCell ref="BR9:BS15"/>
    <mergeCell ref="BV9:BW15"/>
    <mergeCell ref="BF129:BG129"/>
    <mergeCell ref="BJ129:BK129"/>
    <mergeCell ref="BF130:BG130"/>
    <mergeCell ref="BJ130:BK130"/>
    <mergeCell ref="BF132:BG132"/>
    <mergeCell ref="BJ132:BK132"/>
    <mergeCell ref="AW133:AX133"/>
    <mergeCell ref="BF133:BG133"/>
    <mergeCell ref="BJ133:BK133"/>
    <mergeCell ref="A132:C132"/>
    <mergeCell ref="D132:R132"/>
    <mergeCell ref="S132:T132"/>
    <mergeCell ref="U132:AU132"/>
    <mergeCell ref="AW132:AX132"/>
    <mergeCell ref="AW134:AX134"/>
    <mergeCell ref="BF134:BG134"/>
    <mergeCell ref="BJ134:BK134"/>
    <mergeCell ref="A133:C133"/>
    <mergeCell ref="D133:R133"/>
    <mergeCell ref="S133:T133"/>
    <mergeCell ref="AW135:AX135"/>
    <mergeCell ref="BF135:BG135"/>
    <mergeCell ref="BJ135:BK135"/>
    <mergeCell ref="AW136:AX136"/>
    <mergeCell ref="BF136:BG136"/>
    <mergeCell ref="BJ136:BK136"/>
    <mergeCell ref="AW137:AX137"/>
    <mergeCell ref="BF137:BG137"/>
    <mergeCell ref="BJ137:BK137"/>
    <mergeCell ref="AW138:AX138"/>
    <mergeCell ref="BF138:BG138"/>
    <mergeCell ref="BJ138:BK138"/>
  </mergeCells>
  <phoneticPr fontId="25" type="noConversion"/>
  <dataValidations count="16">
    <dataValidation type="list" allowBlank="1" showInputMessage="1" showErrorMessage="1" sqref="O14:O20 O22:O42 O47:O51 O57:O81 O83:O88 O94:O100 O111:O129" xr:uid="{00000000-0002-0000-0000-000000000000}">
      <formula1>Frecuencia</formula1>
    </dataValidation>
    <dataValidation type="list" allowBlank="1" showInputMessage="1" showErrorMessage="1" sqref="U14:AB42 U47:AB51 U57:AB66 U94:AB100 U67:Z68 U71:AC74 U69:AB70 U75:AB86 U87:Z88 U111:AB129" xr:uid="{00000000-0002-0000-0000-000001000000}">
      <formula1>"SI,NO,N/A"</formula1>
    </dataValidation>
    <dataValidation type="list" allowBlank="1" showInputMessage="1" showErrorMessage="1" sqref="J14:J20 J22:J42 J47:J51 J111:J129 J83:J88 J94:J100 J57:J63 J65:J81" xr:uid="{00000000-0002-0000-0000-000002000000}">
      <formula1>"FÍSICO, DIGITAL, AMBOS"</formula1>
    </dataValidation>
    <dataValidation type="list" allowBlank="1" showInputMessage="1" showErrorMessage="1" sqref="K14:K42 K47:K51 K57:K88 K94:K100 K111:K129" xr:uid="{00000000-0002-0000-0000-000003000000}">
      <formula1>"ESPAÑOL,INGLÉS"</formula1>
    </dataValidation>
    <dataValidation type="list" allowBlank="1" showInputMessage="1" showErrorMessage="1" sqref="L14:L20 L22:L42 L47:L51 L111:L129 L94:L100 L57:L63 L65:L88" xr:uid="{00000000-0002-0000-0000-000004000000}">
      <formula1>"INFORMACIÓN PUBLICADA, INFORMACIÓN DISPONIBLE"</formula1>
    </dataValidation>
    <dataValidation type="list" allowBlank="1" showErrorMessage="1" sqref="J10:J13 J43:J46 J52:J56 J101:J110" xr:uid="{00000000-0002-0000-0000-000005000000}">
      <formula1>"FÍSICO,DIGITAL,AMBOS"</formula1>
    </dataValidation>
    <dataValidation type="list" allowBlank="1" showErrorMessage="1" sqref="K10:K13 K43:K46 K52:K56 K101:K110" xr:uid="{00000000-0002-0000-0000-000006000000}">
      <formula1>"ESPAÑOL,INGLÉS"</formula1>
    </dataValidation>
    <dataValidation type="list" allowBlank="1" showErrorMessage="1" sqref="U10:AB13 U43:AB46 U52:AB56 U101:AB110" xr:uid="{00000000-0002-0000-0000-000007000000}">
      <formula1>"SI,NO,N/A"</formula1>
    </dataValidation>
    <dataValidation type="list" allowBlank="1" showErrorMessage="1" sqref="O10:O13 O43:O46 O52:O56 O101:O110" xr:uid="{00000000-0002-0000-0000-000008000000}">
      <formula1>Frecuencia</formula1>
    </dataValidation>
    <dataValidation type="list" allowBlank="1" showErrorMessage="1" sqref="L10:L13 L43:L46 L52:L56 L101:L110" xr:uid="{00000000-0002-0000-0000-000009000000}">
      <formula1>"INFORMACIÓN PUBLICADA,INFORMACIÓN DISPONIBLE"</formula1>
    </dataValidation>
    <dataValidation type="list" allowBlank="1" showInputMessage="1" showErrorMessage="1" sqref="C66" xr:uid="{00000000-0002-0000-0000-00000A000000}">
      <formula1>INDIRECT(B66)</formula1>
    </dataValidation>
    <dataValidation type="list" allowBlank="1" showInputMessage="1" showErrorMessage="1" sqref="L89:L93" xr:uid="{00000000-0002-0000-0000-00000B000000}">
      <formula1>"INFORMACIÓN PUBLICADA,INFORMACIÓN DISPONIBLE"</formula1>
      <formula2>0</formula2>
    </dataValidation>
    <dataValidation type="list" allowBlank="1" showInputMessage="1" showErrorMessage="1" sqref="K89:K93" xr:uid="{00000000-0002-0000-0000-00000C000000}">
      <formula1>"ESPAÑOL,INGLÉS"</formula1>
      <formula2>0</formula2>
    </dataValidation>
    <dataValidation type="list" allowBlank="1" showInputMessage="1" showErrorMessage="1" sqref="J89:J93" xr:uid="{00000000-0002-0000-0000-00000D000000}">
      <formula1>"FÍSICO,DIGITAL,AMBOS"</formula1>
      <formula2>0</formula2>
    </dataValidation>
    <dataValidation type="list" allowBlank="1" showInputMessage="1" showErrorMessage="1" sqref="U89:AB93" xr:uid="{00000000-0002-0000-0000-00000E000000}">
      <formula1>"SI,NO,N/A"</formula1>
      <formula2>0</formula2>
    </dataValidation>
    <dataValidation type="list" allowBlank="1" showInputMessage="1" showErrorMessage="1" sqref="O89:O93" xr:uid="{00000000-0002-0000-0000-00000F000000}">
      <formula1>Frecuencia</formula1>
      <formula2>0</formula2>
    </dataValidation>
  </dataValidations>
  <hyperlinks>
    <hyperlink ref="N76" r:id="rId1" display="https://www.bogotadistritografiti.gov.co/" xr:uid="{00000000-0004-0000-0000-000000000000}"/>
    <hyperlink ref="N126" r:id="rId2" xr:uid="{00000000-0004-0000-0000-000001000000}"/>
    <hyperlink ref="N127" r:id="rId3" xr:uid="{00000000-0004-0000-0000-000002000000}"/>
    <hyperlink ref="N128" r:id="rId4" xr:uid="{00000000-0004-0000-0000-000003000000}"/>
  </hyperlinks>
  <printOptions horizontalCentered="1"/>
  <pageMargins left="0.39370078740157483" right="0.19685039370078741" top="0.39370078740157483" bottom="0" header="0.31496062992125984" footer="0.31496062992125984"/>
  <pageSetup scale="35" orientation="landscape" r:id="rId5"/>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10000000}">
          <x14:formula1>
            <xm:f>Tipologías!$A$38:$A$42</xm:f>
          </x14:formula1>
          <xm:sqref>AI65</xm:sqref>
        </x14:dataValidation>
        <x14:dataValidation type="list" allowBlank="1" showInputMessage="1" showErrorMessage="1" xr:uid="{00000000-0002-0000-0000-000011000000}">
          <x14:formula1>
            <xm:f>Tipologías!$A$56:$A$62</xm:f>
          </x14:formula1>
          <xm:sqref>G65</xm:sqref>
        </x14:dataValidation>
        <x14:dataValidation type="list" allowBlank="1" showInputMessage="1" showErrorMessage="1" xr:uid="{00000000-0002-0000-0000-000012000000}">
          <x14:formula1>
            <xm:f>Tipologías!$A$46:$A$53</xm:f>
          </x14:formula1>
          <xm:sqref>AJ65</xm:sqref>
        </x14:dataValidation>
        <x14:dataValidation type="list" allowBlank="1" showInputMessage="1" showErrorMessage="1" xr:uid="{00000000-0002-0000-0000-000013000000}">
          <x14:formula1>
            <xm:f>Tipologías!$A$29:$A$33</xm:f>
          </x14:formula1>
          <xm:sqref>AG65</xm:sqref>
        </x14:dataValidation>
        <x14:dataValidation type="list" allowBlank="1" showInputMessage="1" showErrorMessage="1" xr:uid="{00000000-0002-0000-0000-000014000000}">
          <x14:formula1>
            <xm:f>Tipologías!$F$51:$F$66</xm:f>
          </x14:formula1>
          <xm:sqref>C65</xm:sqref>
        </x14:dataValidation>
        <x14:dataValidation type="list" allowBlank="1" showInputMessage="1" showErrorMessage="1" xr:uid="{00000000-0002-0000-0000-000015000000}">
          <x14:formula1>
            <xm:f>Tipologías!$B$3:$B$17</xm:f>
          </x14:formula1>
          <xm:sqref>AD65</xm:sqref>
        </x14:dataValidation>
        <x14:dataValidation type="list" allowBlank="1" showInputMessage="1" showErrorMessage="1" xr:uid="{00000000-0002-0000-0000-000016000000}">
          <x14:formula1>
            <xm:f>Tipologías!$A$21:$A$24</xm:f>
          </x14:formula1>
          <xm:sqref>AE65</xm:sqref>
        </x14:dataValidation>
        <x14:dataValidation type="list" allowBlank="1" showInputMessage="1" showErrorMessage="1" xr:uid="{00000000-0002-0000-0000-000017000000}">
          <x14:formula1>
            <xm:f>Tipologías!$D$45:$D$48</xm:f>
          </x14:formula1>
          <xm:sqref>BA65</xm:sqref>
        </x14:dataValidation>
        <x14:dataValidation type="list" allowBlank="1" showInputMessage="1" showErrorMessage="1" xr:uid="{00000000-0002-0000-0000-000018000000}">
          <x14:formula1>
            <xm:f>Tipologías!$G$21:$G$38</xm:f>
          </x14:formula1>
          <xm:sqref>BC65:BC66</xm:sqref>
        </x14:dataValidation>
        <x14:dataValidation type="list" allowBlank="1" showInputMessage="1" showErrorMessage="1" xr:uid="{00000000-0002-0000-0000-000019000000}">
          <x14:formula1>
            <xm:f>Tipologías!$A$80:$A$83</xm:f>
          </x14:formula1>
          <xm:sqref>B65</xm:sqref>
        </x14:dataValidation>
        <x14:dataValidation type="list" allowBlank="1" showInputMessage="1" showErrorMessage="1" xr:uid="{00000000-0002-0000-0000-00001A000000}">
          <x14:formula1>
            <xm:f>Tipologías!$D$51:$D$76</xm:f>
          </x14:formula1>
          <xm:sqref>D65</xm:sqref>
        </x14:dataValidation>
        <x14:dataValidation type="list" allowBlank="1" showErrorMessage="1" xr:uid="{00000000-0002-0000-0000-00001B000000}">
          <x14:formula1>
            <xm:f>'C:\Users\User\Documents\SCRD 2023\Activos de Información 2023\FASE I\[20237000215993  MATRIZ INVENTARIO ACTIVOS DE INFORMACIÓN 2023 VF - OCID.xlsx]Tipologías'!#REF!</xm:f>
          </x14:formula1>
          <xm:sqref>BA10:BA13 BC10:BC13 AD10:AE13 AG10:AG13 AI10:AJ13 B10:D13</xm:sqref>
        </x14:dataValidation>
        <x14:dataValidation type="list" allowBlank="1" showInputMessage="1" showErrorMessage="1" xr:uid="{00000000-0002-0000-0000-00001C000000}">
          <x14:formula1>
            <xm:f>'C:\Users\User\Documents\SCRD 2023\Activos de Información 2023\FASE I\[20232200219693  MATRIZ INVENTARIO ACTIVOS DE INFORMACIÓN 2023 VF - FOMENTO.xlsx]Tipologías'!#REF!</xm:f>
          </x14:formula1>
          <xm:sqref>G14:G21 AI14:AJ21 AG14:AG21 AD14:AE21 BA14:BA21 BC14:BC21 B14:D21</xm:sqref>
        </x14:dataValidation>
        <x14:dataValidation type="list" allowBlank="1" showInputMessage="1" showErrorMessage="1" xr:uid="{00000000-0002-0000-0000-00001D000000}">
          <x14:formula1>
            <xm:f>'C:\Users\User\Documents\SCRD 2023\Activos de Información 2023\FASE I\[20232100222703  MATRIZ INVENTARIO ACTIVOS DE INFORMACIÓN 2023 VF Asuntos Locales Y Participación.xlsx]Tipologías'!#REF!</xm:f>
          </x14:formula1>
          <xm:sqref>G22:G25 AI22:AJ25 AG22:AG25 B22:D25 AD22:AE25 BC22:BC25 BA22:BA25</xm:sqref>
        </x14:dataValidation>
        <x14:dataValidation type="list" allowBlank="1" showInputMessage="1" showErrorMessage="1" xr:uid="{00000000-0002-0000-0000-00001E000000}">
          <x14:formula1>
            <xm:f>'C:\Users\User\Documents\SCRD 2023\Activos de Información 2023\FASE I\[20238000225593 MATRIZ INVENTARIO ACTIVOS DE INFORMACIÓN 2023 VF Dirección De Bibliotecas .xlsx]Tipologías'!#REF!</xm:f>
          </x14:formula1>
          <xm:sqref>G26:G33 AI26:AJ33 AG26:AG33 AD26:AE33 B26:D33 BC26:BC33 BA26:BA33</xm:sqref>
        </x14:dataValidation>
        <x14:dataValidation type="list" allowBlank="1" showInputMessage="1" showErrorMessage="1" xr:uid="{00000000-0002-0000-0000-00001F000000}">
          <x14:formula1>
            <xm:f>'C:\Users\User\Documents\SCRD 2023\Activos de Información 2023\FASE I\[20231200216143  MATRIZ INVENTARIO ACTIVOS DE INFORMACIÓN 2023 VF Comunicaciones.xlsx]Tipologías'!#REF!</xm:f>
          </x14:formula1>
          <xm:sqref>G34:G40 AI34:AJ40 AG34:AG40 B34:D40 AD34:AE40 BA34:BA40 BC34:BC40</xm:sqref>
        </x14:dataValidation>
        <x14:dataValidation type="list" allowBlank="1" showInputMessage="1" showErrorMessage="1" xr:uid="{00000000-0002-0000-0000-000020000000}">
          <x14:formula1>
            <xm:f>'C:\Users\User\Documents\SCRD 2023\Activos de Información 2023\FASE I\[20231400216273 MATRIZ INVENTARIO ACTIVOS DE INFORMACIÓN 2023 VF CONTROL INTERNO.xlsx]Tipologías'!#REF!</xm:f>
          </x14:formula1>
          <xm:sqref>G41:G42 AI41:AJ42 AG41:AG42 B41:D42 AD41:AE42 BA41:BA42 BC41:BC42</xm:sqref>
        </x14:dataValidation>
        <x14:dataValidation type="list" allowBlank="1" showErrorMessage="1" xr:uid="{00000000-0002-0000-0000-000021000000}">
          <x14:formula1>
            <xm:f>'C:\Users\User\Documents\SCRD 2023\Activos de Información 2023\FASE II\[20237200300943 MATRIZ INVENTARIO ACTIVOS DE INFORMACIÓN 2023 VF Financiera.xlsx]Tipologías'!#REF!</xm:f>
          </x14:formula1>
          <xm:sqref>G43:G46 BC43:BC46 AD43:AE46 BA43:BA46 AG43:AG46 B43:D46 AI43:AJ46 AK43:AK45</xm:sqref>
        </x14:dataValidation>
        <x14:dataValidation type="list" allowBlank="1" showInputMessage="1" showErrorMessage="1" xr:uid="{00000000-0002-0000-0000-000022000000}">
          <x14:formula1>
            <xm:f>'C:\Users\User\Documents\SCRD 2023\Activos de Información 2023\FASE II\[120237600261193 MATRIZ INVENTARIO ACTIVOS DE INFORMACIÓN 2023 VF CONTRATACION.xlsx]Tipologías'!#REF!</xm:f>
          </x14:formula1>
          <xm:sqref>G47:G51 AI47:AJ51 AG47:AG51 B47:D51 AD47:AE51 BA47:BA51 BC47:BC51</xm:sqref>
        </x14:dataValidation>
        <x14:dataValidation type="list" allowBlank="1" showErrorMessage="1" xr:uid="{00000000-0002-0000-0000-000023000000}">
          <x14:formula1>
            <xm:f>'C:\Users\User\Documents\SCRD 2023\Activos de Información 2023\FASE II\[20237100262103 MATRIZ INVENTARIO ACTIVOS DE INFORMACIÓN 2023 VF SERV. ADMINISTRATIVOS.xlsx]Tipologías'!#REF!</xm:f>
          </x14:formula1>
          <xm:sqref>B52:D56 BA52:BA56 AG52:AG56 BC52:BC56 AI52:AJ56 G52:G56 AD52:AE56</xm:sqref>
        </x14:dataValidation>
        <x14:dataValidation type="list" allowBlank="1" showInputMessage="1" showErrorMessage="1" xr:uid="{00000000-0002-0000-0000-000024000000}">
          <x14:formula1>
            <xm:f>'C:\Users\User\Documents\SCRD 2023\Activos de Información 2023\FASE III\[20239300304623  MATRIZ INVENTARIO ACTIVOS DE INFORMACIÓN 2023 VF Transformaciones C.xlsx]Tipologías'!#REF!</xm:f>
          </x14:formula1>
          <xm:sqref>G57:G64 AI57:AJ64 AG57:AG64 AD57:AE64 BA57:BA64 BC57:BC64 B57:D64</xm:sqref>
        </x14:dataValidation>
        <x14:dataValidation type="list" allowBlank="1" showInputMessage="1" showErrorMessage="1" xr:uid="{00000000-0002-0000-0000-000025000000}">
          <x14:formula1>
            <xm:f>'C:\Users\User\Documents\SCRD 2023\Activos de Información 2023\FASE III\[20233100303053 MATRIZ INVENTARIO ACTIVOS DE INFORMACIÓN 2023 VF Arte Cultura y P.xlsx]Tipologías'!#REF!</xm:f>
          </x14:formula1>
          <xm:sqref>B66 D66:D67 AD66:AE66 BA66 AI66:AI67 AG66 AJ66 BC67</xm:sqref>
        </x14:dataValidation>
        <x14:dataValidation type="list" allowBlank="1" showInputMessage="1" showErrorMessage="1" xr:uid="{00000000-0002-0000-0000-000026000000}">
          <x14:formula1>
            <xm:f>'C:\Users\User\Documents\SCRD 2023\Activos de Información 2023\FASE III\[20233100303063  MATRIZ INVENTARIO ACTIVOS DE INFORMACIÓN 2023 VF Infraestrctura y PC.xlsx]Tipologías'!#REF!</xm:f>
          </x14:formula1>
          <xm:sqref>I74 I69:I70 I72 G68:H74 AI68:AJ74 AG68:AG74 B68:D74 AD68:AE74 BC68:BC74 BA68:BA74</xm:sqref>
        </x14:dataValidation>
        <x14:dataValidation type="list" allowBlank="1" showInputMessage="1" showErrorMessage="1" xr:uid="{00000000-0002-0000-0000-000027000000}">
          <x14:formula1>
            <xm:f>'C:\Users\User\Documents\SCRD 2023\Activos de Información 2023\FASE III\[20233100311083  MATRIZ INVENTARIO ACTIVOS DE INFORMACIÓN 2023 VF G. Cultural y Artistica.xlsx]Tipologías'!#REF!</xm:f>
          </x14:formula1>
          <xm:sqref>G80:G85 G87:G88 G75:G76 BA75:BA88 M86 B75:D88 AI75:AJ88 AG75:AG88 AD75:AE88 BC75:BC88</xm:sqref>
        </x14:dataValidation>
        <x14:dataValidation type="list" allowBlank="1" showInputMessage="1" showErrorMessage="1" xr:uid="{00000000-0002-0000-0000-000028000000}">
          <x14:formula1>
            <xm:f>'C:\Users\User\Documents\SCRD 2023\Activos de Información 2023\FASE IV\[20231100338343 MATRIZ INVENTARIO ACTIVOS DE INFORMACIÓN 2023 VF Of. Jurídica.xlsx]Tipologías'!#REF!</xm:f>
          </x14:formula1>
          <x14:formula2>
            <xm:f>0</xm:f>
          </x14:formula2>
          <xm:sqref>G89:G93 AI89:AJ93 AG89:AG93 AD89:AE93 BA89:BA93 BC89:BC93 B89:D93</xm:sqref>
        </x14:dataValidation>
        <x14:dataValidation type="list" allowBlank="1" showInputMessage="1" showErrorMessage="1" xr:uid="{00000000-0002-0000-0000-000029000000}">
          <x14:formula1>
            <xm:f>'C:\Users\User\Documents\SCRD 2023\Activos de Información 2023\FASE IV\[20232300338453 MATRIZ INVENTARIO ACTIVOS DE INFORMACIÓN 2023 VF Personas Jurídicas.xlsx]Tipologías'!#REF!</xm:f>
          </x14:formula1>
          <xm:sqref>G94:G97 AI94:AJ97 AG94:AG97 AD94:AE97 BA94:BA97 BC94:BC97 B94:D97</xm:sqref>
        </x14:dataValidation>
        <x14:dataValidation type="list" allowBlank="1" showInputMessage="1" showErrorMessage="1" xr:uid="{00000000-0002-0000-0000-00002A000000}">
          <x14:formula1>
            <xm:f>'C:\Users\User\Documents\SCRD 2023\Activos de Información 2023\FASE I\[Matriz de Activos de Información 2023 SCRD_Despacho.xlsx]Tipologías'!#REF!</xm:f>
          </x14:formula1>
          <xm:sqref>G98:G100 AI98:AJ100 AG98:AG100 B98:D100 AD98:AE100 BA98:BA100 BC98:BC100</xm:sqref>
        </x14:dataValidation>
        <x14:dataValidation type="list" allowBlank="1" showErrorMessage="1" xr:uid="{00000000-0002-0000-0000-00002B000000}">
          <x14:formula1>
            <xm:f>'C:\Users\User\Documents\SCRD 2023\Activos de Información 2023\FASE III\[20239100340673  MATRIZ INVENTARIO ACTIVOS DE INFORMACIÓN 2023 VF Observatorio y Gest. C.xlsx]Tipologías'!#REF!</xm:f>
          </x14:formula1>
          <xm:sqref>G101:G107 BA101:BA107 BC101:BC107 AG101:AG107 AI101:AJ107 AD101:AE107 B101:D107</xm:sqref>
        </x14:dataValidation>
        <x14:dataValidation type="list" allowBlank="1" showErrorMessage="1" xr:uid="{00000000-0002-0000-0000-00002C000000}">
          <x14:formula1>
            <xm:f>'C:\Users\User\Documents\SCRD 2023\Activos de Información 2023\FASE III\[20239000301563 MATRIZ INVENTARIO ACTIVOS DE INFORMACIÓN 2023 VF Cultura Ciudadana C.xlsx]Tipologías'!#REF!</xm:f>
          </x14:formula1>
          <xm:sqref>BA108:BA110 G108:G110 AG108:AG110 BC108:BC110 H108:H109 H110:I110 B108:D110 AI108:AJ110 AD108:AE110</xm:sqref>
        </x14:dataValidation>
        <x14:dataValidation type="list" allowBlank="1" showInputMessage="1" showErrorMessage="1" xr:uid="{00000000-0002-0000-0000-00002D000000}">
          <x14:formula1>
            <xm:f>'C:\Users\User\Documents\SCRD 2023\Activos de Información 2023\FASE IV\[Matriz de Activos de Información 2023 SCRD OTI.xlsx]Tipologías'!#REF!</xm:f>
          </x14:formula1>
          <xm:sqref>G111:G120 AI111:AJ120 AG111:AG120 B111:D120 AD111:AE120 BA111:BA120 BC111:BC120</xm:sqref>
        </x14:dataValidation>
        <x14:dataValidation type="list" allowBlank="1" showInputMessage="1" showErrorMessage="1" xr:uid="{00000000-0002-0000-0000-00002E000000}">
          <x14:formula1>
            <xm:f>'C:\Users\User\Downloads\[20237100515373_00002 (1).xlsx]Tipologías'!#REF!</xm:f>
          </x14:formula1>
          <xm:sqref>G121:G129 AI121:AJ129 AG121:AG129 AD121:AE129 BA121:BA129 BC121:BC129 B121:D129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3"/>
  <sheetViews>
    <sheetView showGridLines="0" zoomScale="80" zoomScaleNormal="80" workbookViewId="0">
      <selection activeCell="F45" sqref="F45"/>
    </sheetView>
  </sheetViews>
  <sheetFormatPr baseColWidth="10" defaultColWidth="9.140625" defaultRowHeight="15" x14ac:dyDescent="0.25"/>
  <cols>
    <col min="1" max="1" width="22.28515625" style="3" customWidth="1"/>
    <col min="2" max="2" width="39.7109375" style="3" customWidth="1"/>
    <col min="3" max="3" width="37.7109375" style="3" customWidth="1"/>
    <col min="4" max="4" width="40.140625" style="3" customWidth="1"/>
    <col min="5" max="5" width="22.28515625" style="3" customWidth="1"/>
    <col min="6" max="6" width="55.28515625" style="3" customWidth="1"/>
    <col min="7" max="7" width="61.42578125" style="3" customWidth="1"/>
    <col min="8" max="1024" width="9.140625" style="3"/>
    <col min="1025" max="16384" width="9.140625" style="42"/>
  </cols>
  <sheetData>
    <row r="1" spans="1:7" ht="24" customHeight="1" x14ac:dyDescent="0.25">
      <c r="A1" s="244" t="s">
        <v>83</v>
      </c>
      <c r="B1" s="244"/>
      <c r="C1" s="244"/>
      <c r="D1" s="244"/>
      <c r="E1" s="1"/>
      <c r="F1" s="2"/>
      <c r="G1" s="2"/>
    </row>
    <row r="2" spans="1:7" ht="99" customHeight="1" x14ac:dyDescent="0.25">
      <c r="A2" s="4" t="s">
        <v>1</v>
      </c>
      <c r="B2" s="4" t="s">
        <v>84</v>
      </c>
      <c r="C2" s="4" t="s">
        <v>85</v>
      </c>
      <c r="D2" s="4" t="s">
        <v>86</v>
      </c>
      <c r="E2" s="4" t="s">
        <v>87</v>
      </c>
      <c r="F2" s="4" t="s">
        <v>88</v>
      </c>
      <c r="G2" s="4" t="s">
        <v>194</v>
      </c>
    </row>
    <row r="3" spans="1:7" ht="293.45" customHeight="1" x14ac:dyDescent="0.25">
      <c r="A3" s="81">
        <v>1</v>
      </c>
      <c r="B3" s="82" t="s">
        <v>89</v>
      </c>
      <c r="C3" s="81" t="s">
        <v>90</v>
      </c>
      <c r="D3" s="83" t="s">
        <v>238</v>
      </c>
      <c r="E3" s="84" t="s">
        <v>91</v>
      </c>
      <c r="F3" s="85" t="s">
        <v>239</v>
      </c>
      <c r="G3" s="86" t="s">
        <v>240</v>
      </c>
    </row>
    <row r="4" spans="1:7" ht="409.5" x14ac:dyDescent="0.25">
      <c r="A4" s="81">
        <v>2</v>
      </c>
      <c r="B4" s="82" t="s">
        <v>206</v>
      </c>
      <c r="C4" s="81" t="s">
        <v>92</v>
      </c>
      <c r="D4" s="82" t="s">
        <v>241</v>
      </c>
      <c r="E4" s="84" t="s">
        <v>93</v>
      </c>
      <c r="F4" s="85" t="s">
        <v>242</v>
      </c>
      <c r="G4" s="86" t="s">
        <v>243</v>
      </c>
    </row>
    <row r="5" spans="1:7" ht="297" x14ac:dyDescent="0.25">
      <c r="A5" s="81">
        <v>3</v>
      </c>
      <c r="B5" s="82" t="s">
        <v>207</v>
      </c>
      <c r="C5" s="81" t="s">
        <v>92</v>
      </c>
      <c r="D5" s="82" t="s">
        <v>244</v>
      </c>
      <c r="E5" s="84" t="s">
        <v>93</v>
      </c>
      <c r="F5" s="86" t="s">
        <v>292</v>
      </c>
      <c r="G5" s="86" t="s">
        <v>245</v>
      </c>
    </row>
    <row r="6" spans="1:7" ht="202.5" x14ac:dyDescent="0.25">
      <c r="A6" s="81">
        <v>4</v>
      </c>
      <c r="B6" s="82" t="s">
        <v>208</v>
      </c>
      <c r="C6" s="81" t="s">
        <v>92</v>
      </c>
      <c r="D6" s="82" t="s">
        <v>246</v>
      </c>
      <c r="E6" s="84" t="s">
        <v>93</v>
      </c>
      <c r="F6" s="86" t="s">
        <v>247</v>
      </c>
      <c r="G6" s="83" t="s">
        <v>248</v>
      </c>
    </row>
    <row r="7" spans="1:7" ht="117.75" customHeight="1" x14ac:dyDescent="0.25">
      <c r="A7" s="81">
        <v>5</v>
      </c>
      <c r="B7" s="82" t="s">
        <v>209</v>
      </c>
      <c r="C7" s="81" t="s">
        <v>92</v>
      </c>
      <c r="D7" s="82" t="s">
        <v>249</v>
      </c>
      <c r="E7" s="84" t="s">
        <v>94</v>
      </c>
      <c r="F7" s="86" t="s">
        <v>250</v>
      </c>
      <c r="G7" s="7" t="s">
        <v>251</v>
      </c>
    </row>
    <row r="8" spans="1:7" ht="27" x14ac:dyDescent="0.25">
      <c r="A8" s="81">
        <v>6</v>
      </c>
      <c r="B8" s="82" t="s">
        <v>210</v>
      </c>
      <c r="C8" s="81" t="s">
        <v>92</v>
      </c>
      <c r="D8" s="82" t="s">
        <v>252</v>
      </c>
      <c r="E8" s="84" t="s">
        <v>94</v>
      </c>
      <c r="F8" s="7" t="str">
        <f>D8</f>
        <v>LEY 1712   DE 2014, ARTÍCULO 19 LITERAL B "LA SEGURIDAD PÚBLICA."</v>
      </c>
      <c r="G8" s="7" t="s">
        <v>253</v>
      </c>
    </row>
    <row r="9" spans="1:7" ht="74.25" customHeight="1" x14ac:dyDescent="0.25">
      <c r="A9" s="81">
        <v>7</v>
      </c>
      <c r="B9" s="82" t="s">
        <v>211</v>
      </c>
      <c r="C9" s="81" t="s">
        <v>92</v>
      </c>
      <c r="D9" s="82" t="s">
        <v>254</v>
      </c>
      <c r="E9" s="84" t="s">
        <v>94</v>
      </c>
      <c r="F9" s="83" t="s">
        <v>255</v>
      </c>
      <c r="G9" s="86" t="s">
        <v>253</v>
      </c>
    </row>
    <row r="10" spans="1:7" ht="110.25" customHeight="1" x14ac:dyDescent="0.25">
      <c r="A10" s="81">
        <v>8</v>
      </c>
      <c r="B10" s="82" t="s">
        <v>212</v>
      </c>
      <c r="C10" s="81" t="s">
        <v>92</v>
      </c>
      <c r="D10" s="82" t="s">
        <v>256</v>
      </c>
      <c r="E10" s="84" t="s">
        <v>94</v>
      </c>
      <c r="F10" s="85" t="s">
        <v>257</v>
      </c>
      <c r="G10" s="7" t="s">
        <v>258</v>
      </c>
    </row>
    <row r="11" spans="1:7" ht="103.7" customHeight="1" x14ac:dyDescent="0.25">
      <c r="A11" s="81">
        <v>9</v>
      </c>
      <c r="B11" s="82" t="s">
        <v>213</v>
      </c>
      <c r="C11" s="81" t="s">
        <v>92</v>
      </c>
      <c r="D11" s="82" t="s">
        <v>259</v>
      </c>
      <c r="E11" s="84" t="s">
        <v>94</v>
      </c>
      <c r="F11" s="85" t="s">
        <v>260</v>
      </c>
      <c r="G11" s="7" t="s">
        <v>261</v>
      </c>
    </row>
    <row r="12" spans="1:7" ht="175.5" x14ac:dyDescent="0.25">
      <c r="A12" s="81">
        <v>10</v>
      </c>
      <c r="B12" s="82" t="s">
        <v>214</v>
      </c>
      <c r="C12" s="81" t="s">
        <v>92</v>
      </c>
      <c r="D12" s="82" t="s">
        <v>262</v>
      </c>
      <c r="E12" s="84" t="s">
        <v>94</v>
      </c>
      <c r="F12" s="85" t="s">
        <v>294</v>
      </c>
      <c r="G12" s="7"/>
    </row>
    <row r="13" spans="1:7" ht="115.5" customHeight="1" x14ac:dyDescent="0.25">
      <c r="A13" s="81">
        <v>11</v>
      </c>
      <c r="B13" s="82" t="s">
        <v>215</v>
      </c>
      <c r="C13" s="81" t="s">
        <v>92</v>
      </c>
      <c r="D13" s="82" t="s">
        <v>263</v>
      </c>
      <c r="E13" s="84" t="s">
        <v>94</v>
      </c>
      <c r="F13" s="7" t="s">
        <v>95</v>
      </c>
      <c r="G13" s="7" t="s">
        <v>264</v>
      </c>
    </row>
    <row r="14" spans="1:7" ht="135" x14ac:dyDescent="0.25">
      <c r="A14" s="81">
        <v>12</v>
      </c>
      <c r="B14" s="82" t="s">
        <v>216</v>
      </c>
      <c r="C14" s="81" t="s">
        <v>92</v>
      </c>
      <c r="D14" s="82" t="s">
        <v>265</v>
      </c>
      <c r="E14" s="84" t="s">
        <v>94</v>
      </c>
      <c r="F14" s="83" t="s">
        <v>290</v>
      </c>
      <c r="G14" s="7" t="s">
        <v>253</v>
      </c>
    </row>
    <row r="15" spans="1:7" ht="27" x14ac:dyDescent="0.25">
      <c r="A15" s="81">
        <v>13</v>
      </c>
      <c r="B15" s="82" t="s">
        <v>217</v>
      </c>
      <c r="C15" s="81" t="s">
        <v>92</v>
      </c>
      <c r="D15" s="82" t="s">
        <v>266</v>
      </c>
      <c r="E15" s="84" t="s">
        <v>94</v>
      </c>
      <c r="F15" s="7" t="str">
        <f>D15</f>
        <v>LEY 1712   DE 2014  ARTÍCULO 19 LITERAL I "LA SALUD PÚBLICA."</v>
      </c>
      <c r="G15" s="7" t="s">
        <v>253</v>
      </c>
    </row>
    <row r="16" spans="1:7" ht="67.5" x14ac:dyDescent="0.25">
      <c r="A16" s="81">
        <v>14</v>
      </c>
      <c r="B16" s="82" t="s">
        <v>218</v>
      </c>
      <c r="C16" s="81" t="s">
        <v>92</v>
      </c>
      <c r="D16" s="87" t="s">
        <v>267</v>
      </c>
      <c r="E16" s="84" t="s">
        <v>94</v>
      </c>
      <c r="F16" s="7" t="s">
        <v>268</v>
      </c>
      <c r="G16" s="7" t="s">
        <v>253</v>
      </c>
    </row>
    <row r="17" spans="1:7" ht="40.5" x14ac:dyDescent="0.25">
      <c r="A17" s="81">
        <v>15</v>
      </c>
      <c r="B17" s="82" t="s">
        <v>219</v>
      </c>
      <c r="C17" s="81" t="s">
        <v>92</v>
      </c>
      <c r="D17" s="88"/>
      <c r="E17" s="84"/>
      <c r="F17" s="84"/>
      <c r="G17" s="7"/>
    </row>
    <row r="18" spans="1:7" ht="24.75" customHeight="1" x14ac:dyDescent="0.25">
      <c r="A18" s="2"/>
      <c r="B18" s="2"/>
      <c r="C18" s="2"/>
      <c r="D18" s="2"/>
      <c r="E18" s="2"/>
      <c r="F18" s="2"/>
      <c r="G18" s="2"/>
    </row>
    <row r="19" spans="1:7" x14ac:dyDescent="0.25">
      <c r="A19" s="2"/>
      <c r="B19" s="2"/>
      <c r="C19" s="2"/>
      <c r="D19" s="2"/>
      <c r="E19" s="2"/>
      <c r="F19" s="2"/>
      <c r="G19" s="2"/>
    </row>
    <row r="20" spans="1:7" ht="24.75" customHeight="1" x14ac:dyDescent="0.25">
      <c r="A20" s="245" t="s">
        <v>129</v>
      </c>
      <c r="B20" s="245"/>
      <c r="C20" s="245"/>
      <c r="G20" s="51" t="s">
        <v>200</v>
      </c>
    </row>
    <row r="21" spans="1:7" ht="24.75" customHeight="1" x14ac:dyDescent="0.25">
      <c r="A21" s="6" t="s">
        <v>130</v>
      </c>
      <c r="B21" s="6" t="s">
        <v>131</v>
      </c>
      <c r="C21" s="6" t="s">
        <v>90</v>
      </c>
      <c r="G21" s="53" t="s">
        <v>195</v>
      </c>
    </row>
    <row r="22" spans="1:7" ht="37.5" customHeight="1" x14ac:dyDescent="0.25">
      <c r="A22" s="6" t="s">
        <v>132</v>
      </c>
      <c r="B22" s="6" t="s">
        <v>133</v>
      </c>
      <c r="C22" s="6" t="s">
        <v>103</v>
      </c>
      <c r="G22" s="53" t="s">
        <v>220</v>
      </c>
    </row>
    <row r="23" spans="1:7" ht="24.75" customHeight="1" x14ac:dyDescent="0.25">
      <c r="A23" s="6" t="s">
        <v>134</v>
      </c>
      <c r="B23" s="6" t="s">
        <v>135</v>
      </c>
      <c r="C23" s="6" t="s">
        <v>92</v>
      </c>
      <c r="G23" s="53" t="s">
        <v>221</v>
      </c>
    </row>
    <row r="24" spans="1:7" ht="24.75" customHeight="1" x14ac:dyDescent="0.25">
      <c r="A24" s="6" t="s">
        <v>136</v>
      </c>
      <c r="B24" s="6" t="s">
        <v>137</v>
      </c>
      <c r="C24" s="6" t="s">
        <v>92</v>
      </c>
      <c r="G24" s="53" t="s">
        <v>222</v>
      </c>
    </row>
    <row r="25" spans="1:7" ht="24.75" customHeight="1" x14ac:dyDescent="0.25">
      <c r="A25" s="2"/>
      <c r="B25" s="2"/>
      <c r="C25" s="2"/>
      <c r="D25" s="2"/>
      <c r="G25" s="53" t="s">
        <v>223</v>
      </c>
    </row>
    <row r="26" spans="1:7" ht="24.75" customHeight="1" x14ac:dyDescent="0.25">
      <c r="A26" s="246" t="s">
        <v>96</v>
      </c>
      <c r="B26" s="246"/>
      <c r="C26" s="2"/>
      <c r="D26" s="2"/>
      <c r="G26" s="53" t="s">
        <v>224</v>
      </c>
    </row>
    <row r="27" spans="1:7" ht="24.75" customHeight="1" x14ac:dyDescent="0.25">
      <c r="A27" s="9" t="s">
        <v>97</v>
      </c>
      <c r="B27" s="9" t="s">
        <v>85</v>
      </c>
      <c r="C27" s="9" t="s">
        <v>98</v>
      </c>
      <c r="G27" s="53" t="s">
        <v>225</v>
      </c>
    </row>
    <row r="28" spans="1:7" ht="24.75" customHeight="1" x14ac:dyDescent="0.25">
      <c r="A28" s="247" t="s">
        <v>99</v>
      </c>
      <c r="B28" s="247"/>
      <c r="C28" s="247"/>
      <c r="E28" s="2"/>
      <c r="G28" s="53" t="s">
        <v>226</v>
      </c>
    </row>
    <row r="29" spans="1:7" ht="24.75" customHeight="1" x14ac:dyDescent="0.25">
      <c r="A29" s="10" t="s">
        <v>100</v>
      </c>
      <c r="B29" s="11">
        <v>1</v>
      </c>
      <c r="C29" s="11" t="s">
        <v>90</v>
      </c>
      <c r="E29" s="2"/>
      <c r="G29" s="53" t="s">
        <v>227</v>
      </c>
    </row>
    <row r="30" spans="1:7" ht="24.75" customHeight="1" x14ac:dyDescent="0.25">
      <c r="A30" s="10" t="s">
        <v>101</v>
      </c>
      <c r="B30" s="11">
        <v>2</v>
      </c>
      <c r="C30" s="11" t="s">
        <v>90</v>
      </c>
      <c r="E30" s="2"/>
      <c r="G30" s="53" t="s">
        <v>228</v>
      </c>
    </row>
    <row r="31" spans="1:7" ht="24.75" customHeight="1" x14ac:dyDescent="0.25">
      <c r="A31" s="10" t="s">
        <v>102</v>
      </c>
      <c r="B31" s="11">
        <v>3</v>
      </c>
      <c r="C31" s="11" t="s">
        <v>103</v>
      </c>
      <c r="E31" s="2"/>
      <c r="G31" s="53" t="s">
        <v>229</v>
      </c>
    </row>
    <row r="32" spans="1:7" x14ac:dyDescent="0.25">
      <c r="A32" s="10" t="s">
        <v>104</v>
      </c>
      <c r="B32" s="11">
        <v>4</v>
      </c>
      <c r="C32" s="11" t="s">
        <v>92</v>
      </c>
      <c r="E32" s="2"/>
      <c r="G32" s="53" t="s">
        <v>230</v>
      </c>
    </row>
    <row r="33" spans="1:7" x14ac:dyDescent="0.25">
      <c r="A33" s="10" t="s">
        <v>105</v>
      </c>
      <c r="B33" s="11">
        <v>5</v>
      </c>
      <c r="C33" s="11" t="s">
        <v>92</v>
      </c>
      <c r="E33" s="2"/>
      <c r="G33" s="53" t="s">
        <v>231</v>
      </c>
    </row>
    <row r="34" spans="1:7" x14ac:dyDescent="0.25">
      <c r="A34" s="2"/>
      <c r="E34" s="2"/>
      <c r="G34" s="53" t="s">
        <v>232</v>
      </c>
    </row>
    <row r="35" spans="1:7" x14ac:dyDescent="0.25">
      <c r="A35" s="246" t="s">
        <v>106</v>
      </c>
      <c r="B35" s="246"/>
      <c r="C35" s="2"/>
      <c r="D35" s="2"/>
      <c r="E35" s="2"/>
      <c r="G35" s="53" t="s">
        <v>233</v>
      </c>
    </row>
    <row r="36" spans="1:7" x14ac:dyDescent="0.25">
      <c r="A36" s="9" t="s">
        <v>97</v>
      </c>
      <c r="B36" s="9" t="s">
        <v>85</v>
      </c>
      <c r="C36" s="2"/>
      <c r="D36" s="246" t="s">
        <v>106</v>
      </c>
      <c r="E36" s="246"/>
      <c r="G36" s="53" t="s">
        <v>234</v>
      </c>
    </row>
    <row r="37" spans="1:7" x14ac:dyDescent="0.25">
      <c r="A37" s="248" t="s">
        <v>107</v>
      </c>
      <c r="B37" s="248"/>
      <c r="D37" s="11" t="s">
        <v>90</v>
      </c>
      <c r="E37" s="11" t="s">
        <v>108</v>
      </c>
      <c r="G37" s="53" t="s">
        <v>235</v>
      </c>
    </row>
    <row r="38" spans="1:7" ht="27" x14ac:dyDescent="0.25">
      <c r="A38" s="12" t="s">
        <v>109</v>
      </c>
      <c r="B38" s="11">
        <v>0</v>
      </c>
      <c r="D38" s="11" t="s">
        <v>103</v>
      </c>
      <c r="E38" s="11" t="s">
        <v>110</v>
      </c>
      <c r="G38" s="53" t="s">
        <v>201</v>
      </c>
    </row>
    <row r="39" spans="1:7" ht="27" x14ac:dyDescent="0.25">
      <c r="A39" s="12" t="s">
        <v>111</v>
      </c>
      <c r="B39" s="11">
        <v>0.5</v>
      </c>
      <c r="D39" s="11" t="s">
        <v>92</v>
      </c>
      <c r="E39" s="11" t="s">
        <v>112</v>
      </c>
      <c r="G39" s="2"/>
    </row>
    <row r="40" spans="1:7" ht="27" x14ac:dyDescent="0.25">
      <c r="A40" s="12" t="s">
        <v>113</v>
      </c>
      <c r="B40" s="11">
        <v>1</v>
      </c>
      <c r="D40" s="2"/>
      <c r="F40" s="3" t="str">
        <f>UPPER(E40)</f>
        <v/>
      </c>
      <c r="G40" s="2"/>
    </row>
    <row r="41" spans="1:7" ht="27" x14ac:dyDescent="0.25">
      <c r="A41" s="12" t="s">
        <v>114</v>
      </c>
      <c r="B41" s="11">
        <v>1.5</v>
      </c>
      <c r="D41" s="2"/>
      <c r="F41" s="3" t="str">
        <f>UPPER(E41)</f>
        <v/>
      </c>
      <c r="G41" s="2"/>
    </row>
    <row r="42" spans="1:7" ht="40.5" x14ac:dyDescent="0.25">
      <c r="A42" s="12" t="s">
        <v>115</v>
      </c>
      <c r="B42" s="11">
        <v>2</v>
      </c>
      <c r="D42" s="2"/>
      <c r="G42" s="2"/>
    </row>
    <row r="43" spans="1:7" x14ac:dyDescent="0.25">
      <c r="A43" s="2"/>
      <c r="D43" s="2"/>
      <c r="E43" s="2"/>
      <c r="F43" s="2"/>
      <c r="G43" s="2"/>
    </row>
    <row r="44" spans="1:7" x14ac:dyDescent="0.25">
      <c r="A44" s="13" t="s">
        <v>97</v>
      </c>
      <c r="B44" s="13" t="s">
        <v>85</v>
      </c>
      <c r="D44" s="51" t="s">
        <v>26</v>
      </c>
      <c r="E44" s="2"/>
      <c r="F44" s="2"/>
      <c r="G44" s="2"/>
    </row>
    <row r="45" spans="1:7" ht="13.7" customHeight="1" x14ac:dyDescent="0.25">
      <c r="A45" s="247" t="s">
        <v>116</v>
      </c>
      <c r="B45" s="247"/>
      <c r="D45" s="52" t="s">
        <v>196</v>
      </c>
      <c r="E45" s="2"/>
      <c r="F45" s="2"/>
      <c r="G45" s="2"/>
    </row>
    <row r="46" spans="1:7" x14ac:dyDescent="0.25">
      <c r="A46" s="8" t="s">
        <v>117</v>
      </c>
      <c r="B46" s="5">
        <v>2.5</v>
      </c>
      <c r="D46" s="52" t="s">
        <v>197</v>
      </c>
      <c r="E46" s="2"/>
      <c r="F46" s="2"/>
      <c r="G46" s="2"/>
    </row>
    <row r="47" spans="1:7" x14ac:dyDescent="0.25">
      <c r="A47" s="8" t="s">
        <v>118</v>
      </c>
      <c r="B47" s="5">
        <v>2.25</v>
      </c>
      <c r="D47" s="52" t="s">
        <v>198</v>
      </c>
      <c r="E47" s="2"/>
      <c r="F47" s="2"/>
      <c r="G47" s="2"/>
    </row>
    <row r="48" spans="1:7" x14ac:dyDescent="0.25">
      <c r="A48" s="8" t="s">
        <v>119</v>
      </c>
      <c r="B48" s="5">
        <v>2</v>
      </c>
      <c r="C48" s="3" t="s">
        <v>288</v>
      </c>
      <c r="D48" s="52" t="s">
        <v>195</v>
      </c>
      <c r="E48" s="2"/>
      <c r="F48" s="2"/>
      <c r="G48" s="2"/>
    </row>
    <row r="49" spans="1:7" x14ac:dyDescent="0.25">
      <c r="A49" s="8" t="s">
        <v>120</v>
      </c>
      <c r="B49" s="5">
        <v>1.5</v>
      </c>
      <c r="C49" s="3" t="s">
        <v>289</v>
      </c>
      <c r="D49" s="2"/>
      <c r="E49" s="2"/>
      <c r="F49" s="2"/>
      <c r="G49" s="2"/>
    </row>
    <row r="50" spans="1:7" ht="15.75" thickBot="1" x14ac:dyDescent="0.3">
      <c r="A50" s="8" t="s">
        <v>121</v>
      </c>
      <c r="B50" s="5">
        <v>1.25</v>
      </c>
      <c r="C50" s="3" t="s">
        <v>291</v>
      </c>
      <c r="D50" s="51" t="s">
        <v>203</v>
      </c>
      <c r="E50" s="2"/>
      <c r="F50" s="51" t="s">
        <v>52</v>
      </c>
      <c r="G50" s="2"/>
    </row>
    <row r="51" spans="1:7" x14ac:dyDescent="0.25">
      <c r="A51" s="8" t="s">
        <v>122</v>
      </c>
      <c r="B51" s="5">
        <v>1</v>
      </c>
      <c r="C51" s="3" t="s">
        <v>293</v>
      </c>
      <c r="D51" s="89" t="s">
        <v>276</v>
      </c>
      <c r="E51" s="2"/>
      <c r="F51" s="92" t="s">
        <v>296</v>
      </c>
      <c r="G51" s="2"/>
    </row>
    <row r="52" spans="1:7" x14ac:dyDescent="0.25">
      <c r="A52" s="8" t="s">
        <v>123</v>
      </c>
      <c r="B52" s="5">
        <v>0.5</v>
      </c>
      <c r="C52" s="3" t="s">
        <v>295</v>
      </c>
      <c r="D52" s="90" t="s">
        <v>281</v>
      </c>
      <c r="E52" s="2"/>
      <c r="F52" s="95" t="s">
        <v>310</v>
      </c>
      <c r="G52" s="2"/>
    </row>
    <row r="53" spans="1:7" x14ac:dyDescent="0.25">
      <c r="A53" s="8" t="s">
        <v>124</v>
      </c>
      <c r="B53" s="5">
        <v>0.25</v>
      </c>
      <c r="D53" s="90" t="s">
        <v>272</v>
      </c>
      <c r="E53" s="2"/>
      <c r="F53" s="96" t="s">
        <v>311</v>
      </c>
      <c r="G53" s="2"/>
    </row>
    <row r="54" spans="1:7" ht="30" x14ac:dyDescent="0.25">
      <c r="A54" s="2"/>
      <c r="D54" s="90" t="s">
        <v>271</v>
      </c>
      <c r="E54" s="2"/>
      <c r="F54" s="98" t="s">
        <v>312</v>
      </c>
      <c r="G54" s="2"/>
    </row>
    <row r="55" spans="1:7" ht="30" x14ac:dyDescent="0.25">
      <c r="A55" s="51" t="s">
        <v>32</v>
      </c>
      <c r="B55" s="51" t="s">
        <v>138</v>
      </c>
      <c r="D55" s="90" t="s">
        <v>277</v>
      </c>
      <c r="E55" s="2"/>
      <c r="F55" s="95" t="s">
        <v>304</v>
      </c>
      <c r="G55" s="2"/>
    </row>
    <row r="56" spans="1:7" ht="67.5" x14ac:dyDescent="0.25">
      <c r="A56" s="5" t="s">
        <v>205</v>
      </c>
      <c r="B56" s="8" t="s">
        <v>175</v>
      </c>
      <c r="D56" s="90" t="s">
        <v>282</v>
      </c>
      <c r="E56" s="2"/>
      <c r="F56" s="95" t="s">
        <v>306</v>
      </c>
    </row>
    <row r="57" spans="1:7" ht="81" x14ac:dyDescent="0.25">
      <c r="A57" s="5" t="s">
        <v>139</v>
      </c>
      <c r="B57" s="8" t="s">
        <v>176</v>
      </c>
      <c r="D57" s="90" t="s">
        <v>270</v>
      </c>
      <c r="E57" s="2"/>
      <c r="F57" s="94" t="s">
        <v>299</v>
      </c>
    </row>
    <row r="58" spans="1:7" ht="67.5" x14ac:dyDescent="0.25">
      <c r="A58" s="5" t="s">
        <v>140</v>
      </c>
      <c r="B58" s="8" t="s">
        <v>177</v>
      </c>
      <c r="D58" s="90" t="s">
        <v>269</v>
      </c>
      <c r="E58" s="2"/>
      <c r="F58" s="94" t="s">
        <v>303</v>
      </c>
    </row>
    <row r="59" spans="1:7" ht="81" x14ac:dyDescent="0.25">
      <c r="A59" s="5" t="s">
        <v>141</v>
      </c>
      <c r="B59" s="8" t="s">
        <v>178</v>
      </c>
      <c r="D59" s="90" t="s">
        <v>273</v>
      </c>
      <c r="E59" s="2"/>
      <c r="F59" s="97" t="s">
        <v>313</v>
      </c>
    </row>
    <row r="60" spans="1:7" ht="100.15" customHeight="1" x14ac:dyDescent="0.25">
      <c r="A60" s="5" t="s">
        <v>173</v>
      </c>
      <c r="B60" s="8" t="s">
        <v>179</v>
      </c>
      <c r="D60" s="90" t="s">
        <v>283</v>
      </c>
      <c r="E60" s="2"/>
      <c r="F60" s="94" t="s">
        <v>301</v>
      </c>
    </row>
    <row r="61" spans="1:7" ht="148.5" x14ac:dyDescent="0.25">
      <c r="A61" s="5" t="s">
        <v>174</v>
      </c>
      <c r="B61" s="8" t="s">
        <v>180</v>
      </c>
      <c r="D61" s="90" t="s">
        <v>280</v>
      </c>
      <c r="E61" s="2"/>
      <c r="F61" s="93" t="s">
        <v>298</v>
      </c>
    </row>
    <row r="62" spans="1:7" ht="30" x14ac:dyDescent="0.25">
      <c r="A62" s="5" t="s">
        <v>199</v>
      </c>
      <c r="B62" s="8"/>
      <c r="D62" s="90" t="s">
        <v>279</v>
      </c>
      <c r="E62" s="2"/>
      <c r="F62" s="95" t="s">
        <v>305</v>
      </c>
    </row>
    <row r="63" spans="1:7" ht="30" x14ac:dyDescent="0.25">
      <c r="D63" s="90" t="s">
        <v>274</v>
      </c>
      <c r="E63" s="2"/>
      <c r="F63" s="94" t="s">
        <v>302</v>
      </c>
    </row>
    <row r="64" spans="1:7" ht="27" x14ac:dyDescent="0.25">
      <c r="A64" s="4" t="s">
        <v>142</v>
      </c>
      <c r="D64" s="90" t="s">
        <v>162</v>
      </c>
      <c r="E64" s="2"/>
      <c r="F64" s="95" t="s">
        <v>309</v>
      </c>
    </row>
    <row r="65" spans="1:6" ht="30" x14ac:dyDescent="0.25">
      <c r="A65" s="14" t="s">
        <v>143</v>
      </c>
      <c r="D65" s="90" t="s">
        <v>68</v>
      </c>
      <c r="E65" s="2"/>
      <c r="F65" s="95" t="s">
        <v>307</v>
      </c>
    </row>
    <row r="66" spans="1:6" x14ac:dyDescent="0.25">
      <c r="A66" s="14" t="s">
        <v>144</v>
      </c>
      <c r="D66" s="90" t="s">
        <v>70</v>
      </c>
      <c r="E66" s="2"/>
      <c r="F66" s="93" t="s">
        <v>297</v>
      </c>
    </row>
    <row r="67" spans="1:6" x14ac:dyDescent="0.25">
      <c r="A67" s="14" t="s">
        <v>145</v>
      </c>
      <c r="D67" s="90" t="s">
        <v>61</v>
      </c>
      <c r="E67" s="2"/>
      <c r="F67" s="98" t="s">
        <v>314</v>
      </c>
    </row>
    <row r="68" spans="1:6" ht="30" x14ac:dyDescent="0.25">
      <c r="A68" s="14" t="s">
        <v>146</v>
      </c>
      <c r="D68" s="90" t="s">
        <v>64</v>
      </c>
      <c r="E68" s="2"/>
      <c r="F68" s="94" t="s">
        <v>300</v>
      </c>
    </row>
    <row r="69" spans="1:6" ht="30" x14ac:dyDescent="0.25">
      <c r="A69" s="14" t="s">
        <v>147</v>
      </c>
      <c r="D69" s="90" t="s">
        <v>284</v>
      </c>
      <c r="E69" s="2"/>
      <c r="F69" s="97" t="s">
        <v>162</v>
      </c>
    </row>
    <row r="70" spans="1:6" ht="15.75" thickBot="1" x14ac:dyDescent="0.3">
      <c r="A70" s="14" t="s">
        <v>148</v>
      </c>
      <c r="D70" s="90" t="s">
        <v>285</v>
      </c>
      <c r="E70" s="2"/>
      <c r="F70" s="99" t="s">
        <v>308</v>
      </c>
    </row>
    <row r="71" spans="1:6" x14ac:dyDescent="0.25">
      <c r="A71" s="14" t="s">
        <v>204</v>
      </c>
      <c r="D71" s="90" t="s">
        <v>278</v>
      </c>
      <c r="E71" s="2"/>
    </row>
    <row r="72" spans="1:6" ht="30" x14ac:dyDescent="0.25">
      <c r="A72" s="14" t="s">
        <v>149</v>
      </c>
      <c r="D72" s="90" t="s">
        <v>78</v>
      </c>
      <c r="E72" s="2"/>
    </row>
    <row r="73" spans="1:6" ht="30" x14ac:dyDescent="0.25">
      <c r="A73" s="14" t="s">
        <v>150</v>
      </c>
      <c r="D73" s="90" t="s">
        <v>237</v>
      </c>
      <c r="E73" s="2"/>
    </row>
    <row r="74" spans="1:6" x14ac:dyDescent="0.25">
      <c r="A74" s="14" t="s">
        <v>151</v>
      </c>
      <c r="D74" s="90" t="s">
        <v>286</v>
      </c>
    </row>
    <row r="75" spans="1:6" ht="14.25" customHeight="1" x14ac:dyDescent="0.25">
      <c r="D75" s="90" t="s">
        <v>287</v>
      </c>
    </row>
    <row r="76" spans="1:6" ht="15.75" thickBot="1" x14ac:dyDescent="0.3">
      <c r="D76" s="91" t="s">
        <v>275</v>
      </c>
    </row>
    <row r="77" spans="1:6" ht="15.75" thickBot="1" x14ac:dyDescent="0.3"/>
    <row r="78" spans="1:6" ht="15.75" thickBot="1" x14ac:dyDescent="0.3">
      <c r="A78" s="249" t="s">
        <v>49</v>
      </c>
      <c r="B78" s="249"/>
      <c r="C78" s="250" t="s">
        <v>50</v>
      </c>
      <c r="D78" s="250"/>
    </row>
    <row r="79" spans="1:6" ht="33.75" customHeight="1" thickBot="1" x14ac:dyDescent="0.3">
      <c r="A79" s="15" t="s">
        <v>51</v>
      </c>
      <c r="B79" s="54" t="s">
        <v>52</v>
      </c>
      <c r="C79" s="16" t="s">
        <v>53</v>
      </c>
      <c r="D79" s="17" t="s">
        <v>54</v>
      </c>
    </row>
    <row r="80" spans="1:6" ht="15.75" thickBot="1" x14ac:dyDescent="0.3">
      <c r="A80" s="18" t="s">
        <v>55</v>
      </c>
      <c r="B80" s="55" t="s">
        <v>56</v>
      </c>
      <c r="C80" s="19" t="s">
        <v>57</v>
      </c>
      <c r="D80" s="20" t="s">
        <v>58</v>
      </c>
    </row>
    <row r="81" spans="1:4" x14ac:dyDescent="0.25">
      <c r="A81" s="21" t="s">
        <v>59</v>
      </c>
      <c r="B81" s="56" t="s">
        <v>168</v>
      </c>
      <c r="C81" s="22" t="s">
        <v>60</v>
      </c>
      <c r="D81" s="23" t="s">
        <v>61</v>
      </c>
    </row>
    <row r="82" spans="1:4" ht="27" x14ac:dyDescent="0.25">
      <c r="A82" s="24" t="s">
        <v>62</v>
      </c>
      <c r="B82" s="56" t="s">
        <v>169</v>
      </c>
      <c r="C82" s="25" t="s">
        <v>171</v>
      </c>
      <c r="D82" s="43" t="s">
        <v>64</v>
      </c>
    </row>
    <row r="83" spans="1:4" ht="33.75" customHeight="1" thickBot="1" x14ac:dyDescent="0.3">
      <c r="A83" s="27" t="s">
        <v>65</v>
      </c>
      <c r="B83" s="57" t="s">
        <v>163</v>
      </c>
      <c r="C83" s="28" t="s">
        <v>152</v>
      </c>
      <c r="D83" s="43" t="s">
        <v>67</v>
      </c>
    </row>
    <row r="84" spans="1:4" ht="29.25" customHeight="1" x14ac:dyDescent="0.25">
      <c r="B84" s="58" t="s">
        <v>164</v>
      </c>
      <c r="C84" s="29" t="s">
        <v>153</v>
      </c>
      <c r="D84" s="26" t="s">
        <v>68</v>
      </c>
    </row>
    <row r="85" spans="1:4" ht="27" x14ac:dyDescent="0.25">
      <c r="A85" s="44"/>
      <c r="B85" s="58" t="s">
        <v>167</v>
      </c>
      <c r="C85" s="30" t="s">
        <v>154</v>
      </c>
      <c r="D85" s="26" t="s">
        <v>70</v>
      </c>
    </row>
    <row r="86" spans="1:4" ht="15.75" thickBot="1" x14ac:dyDescent="0.3">
      <c r="A86" s="44"/>
      <c r="B86" s="57" t="s">
        <v>165</v>
      </c>
      <c r="C86" s="32" t="s">
        <v>172</v>
      </c>
      <c r="D86" s="26" t="s">
        <v>71</v>
      </c>
    </row>
    <row r="87" spans="1:4" x14ac:dyDescent="0.25">
      <c r="A87" s="44"/>
      <c r="B87" s="57" t="s">
        <v>166</v>
      </c>
      <c r="C87" s="33"/>
      <c r="D87" s="31" t="s">
        <v>60</v>
      </c>
    </row>
    <row r="88" spans="1:4" x14ac:dyDescent="0.25">
      <c r="A88" s="44"/>
      <c r="B88" s="59" t="s">
        <v>157</v>
      </c>
      <c r="C88" s="2"/>
      <c r="D88" s="31" t="s">
        <v>72</v>
      </c>
    </row>
    <row r="89" spans="1:4" ht="26.45" customHeight="1" x14ac:dyDescent="0.25">
      <c r="A89" s="44"/>
      <c r="B89" s="59" t="s">
        <v>74</v>
      </c>
      <c r="C89" s="33"/>
      <c r="D89" s="31" t="s">
        <v>73</v>
      </c>
    </row>
    <row r="90" spans="1:4" x14ac:dyDescent="0.25">
      <c r="A90" s="44"/>
      <c r="B90" s="59" t="s">
        <v>158</v>
      </c>
      <c r="C90" s="33"/>
      <c r="D90" s="34" t="s">
        <v>75</v>
      </c>
    </row>
    <row r="91" spans="1:4" ht="15.75" thickBot="1" x14ac:dyDescent="0.3">
      <c r="A91" s="44"/>
      <c r="B91" s="59" t="s">
        <v>159</v>
      </c>
      <c r="C91" s="33"/>
      <c r="D91" s="35" t="s">
        <v>76</v>
      </c>
    </row>
    <row r="92" spans="1:4" ht="27.75" thickBot="1" x14ac:dyDescent="0.3">
      <c r="A92" s="44"/>
      <c r="B92" s="59" t="s">
        <v>160</v>
      </c>
      <c r="C92" s="33"/>
      <c r="D92" s="36" t="s">
        <v>63</v>
      </c>
    </row>
    <row r="93" spans="1:4" ht="27" x14ac:dyDescent="0.25">
      <c r="A93" s="44"/>
      <c r="B93" s="59" t="s">
        <v>161</v>
      </c>
      <c r="C93" s="33"/>
      <c r="D93" s="36" t="s">
        <v>77</v>
      </c>
    </row>
    <row r="94" spans="1:4" x14ac:dyDescent="0.25">
      <c r="A94" s="38"/>
      <c r="B94" s="59" t="s">
        <v>162</v>
      </c>
      <c r="C94" s="2"/>
      <c r="D94" s="37" t="s">
        <v>66</v>
      </c>
    </row>
    <row r="95" spans="1:4" ht="15.75" thickBot="1" x14ac:dyDescent="0.3">
      <c r="A95" s="38"/>
      <c r="B95" s="60" t="s">
        <v>156</v>
      </c>
      <c r="C95" s="33"/>
      <c r="D95" s="37" t="s">
        <v>78</v>
      </c>
    </row>
    <row r="96" spans="1:4" ht="27" x14ac:dyDescent="0.25">
      <c r="B96" s="2"/>
      <c r="C96" s="33"/>
      <c r="D96" s="37" t="s">
        <v>79</v>
      </c>
    </row>
    <row r="97" spans="2:4" x14ac:dyDescent="0.25">
      <c r="B97" s="2"/>
      <c r="C97" s="33"/>
      <c r="D97" s="39" t="s">
        <v>155</v>
      </c>
    </row>
    <row r="98" spans="2:4" x14ac:dyDescent="0.25">
      <c r="B98" s="2"/>
      <c r="C98" s="33"/>
      <c r="D98" s="40" t="s">
        <v>69</v>
      </c>
    </row>
    <row r="99" spans="2:4" ht="27" x14ac:dyDescent="0.25">
      <c r="B99" s="2"/>
      <c r="C99" s="33"/>
      <c r="D99" s="40" t="s">
        <v>80</v>
      </c>
    </row>
    <row r="100" spans="2:4" ht="27" x14ac:dyDescent="0.25">
      <c r="B100" s="2"/>
      <c r="C100" s="2"/>
      <c r="D100" s="40" t="s">
        <v>81</v>
      </c>
    </row>
    <row r="101" spans="2:4" ht="27" x14ac:dyDescent="0.25">
      <c r="D101" s="40" t="s">
        <v>202</v>
      </c>
    </row>
    <row r="102" spans="2:4" ht="27" x14ac:dyDescent="0.25">
      <c r="D102" s="40" t="s">
        <v>82</v>
      </c>
    </row>
    <row r="103" spans="2:4" ht="27" x14ac:dyDescent="0.25">
      <c r="D103" s="41" t="s">
        <v>170</v>
      </c>
    </row>
  </sheetData>
  <sortState xmlns:xlrd2="http://schemas.microsoft.com/office/spreadsheetml/2017/richdata2" ref="F52:F70">
    <sortCondition ref="F52:F70"/>
  </sortState>
  <mergeCells count="10">
    <mergeCell ref="D36:E36"/>
    <mergeCell ref="A37:B37"/>
    <mergeCell ref="A45:B45"/>
    <mergeCell ref="A78:B78"/>
    <mergeCell ref="C78:D78"/>
    <mergeCell ref="A1:D1"/>
    <mergeCell ref="A20:C20"/>
    <mergeCell ref="A26:B26"/>
    <mergeCell ref="A28:C28"/>
    <mergeCell ref="A35:B35"/>
  </mergeCells>
  <conditionalFormatting sqref="B80:B95">
    <cfRule type="duplicateValues" dxfId="0" priority="2"/>
  </conditionalFormatting>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13</vt:i4>
      </vt:variant>
    </vt:vector>
  </HeadingPairs>
  <TitlesOfParts>
    <vt:vector size="15" baseType="lpstr">
      <vt:lpstr>Matriz</vt:lpstr>
      <vt:lpstr>Tipologías</vt:lpstr>
      <vt:lpstr>APOYO</vt:lpstr>
      <vt:lpstr>Matriz!Área_de_impresión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Lucila Guerrero Ramirez</cp:lastModifiedBy>
  <cp:revision/>
  <dcterms:created xsi:type="dcterms:W3CDTF">2018-02-02T16:18:46Z</dcterms:created>
  <dcterms:modified xsi:type="dcterms:W3CDTF">2024-01-26T20:54:05Z</dcterms:modified>
  <cp:category/>
  <cp:contentStatus/>
</cp:coreProperties>
</file>